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180" yWindow="1560" windowWidth="15180" windowHeight="7350"/>
  </bookViews>
  <sheets>
    <sheet name="Electricity - G0KWH0" sheetId="1" r:id="rId1"/>
    <sheet name="Steam - G0STEA" sheetId="2" r:id="rId2"/>
    <sheet name="Water - G0WATR" sheetId="3" r:id="rId3"/>
    <sheet name="pRODUCTION - ZZPROD" sheetId="4" r:id="rId4"/>
    <sheet name="Inst Capacity G0INCA" sheetId="5" r:id="rId5"/>
  </sheets>
  <definedNames>
    <definedName name="_xlnm.Print_Area" localSheetId="0">'Electricity - G0KWH0'!$A$3:$C$26</definedName>
    <definedName name="_xlnm.Print_Area" localSheetId="4">'Inst Capacity G0INCA'!$A$3:$C$21</definedName>
    <definedName name="_xlnm.Print_Area" localSheetId="3">'pRODUCTION - ZZPROD'!$A$3:$C$28</definedName>
    <definedName name="_xlnm.Print_Area" localSheetId="1">'Steam - G0STEA'!$A$3:$H$31</definedName>
    <definedName name="_xlnm.Print_Area" localSheetId="2">'Water - G0WATR'!$A$3:$C$23</definedName>
  </definedNames>
  <calcPr calcId="145621"/>
</workbook>
</file>

<file path=xl/calcChain.xml><?xml version="1.0" encoding="utf-8"?>
<calcChain xmlns="http://schemas.openxmlformats.org/spreadsheetml/2006/main">
  <c r="C60" i="5" l="1"/>
  <c r="C52" i="5"/>
  <c r="B35" i="5"/>
  <c r="B37" i="5" s="1"/>
  <c r="B20" i="5"/>
  <c r="B7" i="5"/>
  <c r="B10" i="5" s="1"/>
  <c r="A3" i="5"/>
  <c r="B43" i="4"/>
  <c r="H41" i="4"/>
  <c r="C41" i="4"/>
  <c r="H40" i="4"/>
  <c r="C40" i="4"/>
  <c r="H39" i="4"/>
  <c r="C39" i="4"/>
  <c r="H38" i="4"/>
  <c r="C38" i="4"/>
  <c r="H37" i="4"/>
  <c r="C37" i="4"/>
  <c r="H36" i="4"/>
  <c r="H35" i="4"/>
  <c r="C35" i="4"/>
  <c r="H34" i="4"/>
  <c r="C34" i="4"/>
  <c r="H33" i="4"/>
  <c r="C33" i="4"/>
  <c r="B25" i="4"/>
  <c r="B44" i="4" s="1"/>
  <c r="E20" i="4"/>
  <c r="H15" i="4"/>
  <c r="H14" i="4"/>
  <c r="H16" i="4" s="1"/>
  <c r="B10" i="4"/>
  <c r="B7" i="4"/>
  <c r="A3" i="4"/>
  <c r="C36" i="3"/>
  <c r="C35" i="3"/>
  <c r="C34" i="3"/>
  <c r="F33" i="3"/>
  <c r="C33" i="3"/>
  <c r="C32" i="3"/>
  <c r="B26" i="3"/>
  <c r="D21" i="3"/>
  <c r="B21" i="3" s="1"/>
  <c r="F36" i="3" s="1"/>
  <c r="D20" i="3"/>
  <c r="B20" i="3"/>
  <c r="F35" i="3" s="1"/>
  <c r="D18" i="3"/>
  <c r="B18" i="3" s="1"/>
  <c r="F34" i="3" s="1"/>
  <c r="D14" i="3"/>
  <c r="D23" i="3" s="1"/>
  <c r="B10" i="3"/>
  <c r="B7" i="3"/>
  <c r="A3" i="3"/>
  <c r="C67" i="2"/>
  <c r="D66" i="2" s="1"/>
  <c r="H48" i="2"/>
  <c r="I47" i="2"/>
  <c r="H47" i="2"/>
  <c r="C47" i="2"/>
  <c r="I46" i="2"/>
  <c r="H46" i="2"/>
  <c r="C46" i="2"/>
  <c r="I45" i="2"/>
  <c r="H45" i="2"/>
  <c r="C45" i="2"/>
  <c r="I44" i="2"/>
  <c r="C44" i="2"/>
  <c r="I43" i="2"/>
  <c r="C43" i="2"/>
  <c r="H42" i="2"/>
  <c r="C42" i="2"/>
  <c r="I41" i="2"/>
  <c r="C41" i="2"/>
  <c r="B31" i="2"/>
  <c r="B30" i="2"/>
  <c r="I25" i="2"/>
  <c r="B25" i="2"/>
  <c r="I24" i="2"/>
  <c r="B24" i="2"/>
  <c r="H43" i="2" s="1"/>
  <c r="B23" i="2"/>
  <c r="B22" i="2"/>
  <c r="I21" i="2"/>
  <c r="I27" i="2" s="1"/>
  <c r="I28" i="2" s="1"/>
  <c r="B21" i="2"/>
  <c r="H44" i="2" s="1"/>
  <c r="I17" i="2"/>
  <c r="B13" i="2"/>
  <c r="B12" i="2"/>
  <c r="B11" i="2"/>
  <c r="B10" i="2"/>
  <c r="B14" i="2" s="1"/>
  <c r="A3" i="2"/>
  <c r="F51" i="1"/>
  <c r="C51" i="1"/>
  <c r="F50" i="1"/>
  <c r="C50" i="1"/>
  <c r="F49" i="1"/>
  <c r="E49" i="1"/>
  <c r="F48" i="1"/>
  <c r="C48" i="1"/>
  <c r="F47" i="1"/>
  <c r="E47" i="1"/>
  <c r="C47" i="1"/>
  <c r="F46" i="1"/>
  <c r="C46" i="1"/>
  <c r="F45" i="1"/>
  <c r="C45" i="1"/>
  <c r="F44" i="1"/>
  <c r="C44" i="1"/>
  <c r="E43" i="1"/>
  <c r="C43" i="1"/>
  <c r="F42" i="1"/>
  <c r="C42" i="1"/>
  <c r="E24" i="1"/>
  <c r="B24" i="1" s="1"/>
  <c r="E46" i="1" s="1"/>
  <c r="E23" i="1"/>
  <c r="B23" i="1"/>
  <c r="E45" i="1" s="1"/>
  <c r="B22" i="1"/>
  <c r="B21" i="1"/>
  <c r="E48" i="1" s="1"/>
  <c r="E20" i="1"/>
  <c r="B20" i="1"/>
  <c r="E44" i="1" s="1"/>
  <c r="B19" i="1"/>
  <c r="E50" i="1" s="1"/>
  <c r="B18" i="1"/>
  <c r="B16" i="1"/>
  <c r="E51" i="1" s="1"/>
  <c r="E14" i="1"/>
  <c r="B14" i="1" s="1"/>
  <c r="B10" i="1"/>
  <c r="B9" i="1"/>
  <c r="B11" i="1" s="1"/>
  <c r="B5" i="1"/>
  <c r="B26" i="1" l="1"/>
  <c r="E42" i="1"/>
  <c r="B14" i="3"/>
  <c r="B17" i="2"/>
  <c r="E26" i="1"/>
  <c r="D65" i="2"/>
  <c r="B31" i="1" l="1"/>
  <c r="I27" i="1"/>
  <c r="H41" i="2"/>
  <c r="B27" i="2"/>
  <c r="B23" i="3"/>
  <c r="F32" i="3"/>
</calcChain>
</file>

<file path=xl/comments1.xml><?xml version="1.0" encoding="utf-8"?>
<comments xmlns="http://schemas.openxmlformats.org/spreadsheetml/2006/main">
  <authors>
    <author>in00341</author>
  </authors>
  <commentList>
    <comment ref="B14" authorId="0">
      <text>
        <r>
          <rPr>
            <b/>
            <sz val="9"/>
            <color indexed="81"/>
            <rFont val="Tahoma"/>
            <family val="2"/>
          </rPr>
          <t>in00341:</t>
        </r>
        <r>
          <rPr>
            <sz val="9"/>
            <color indexed="81"/>
            <rFont val="Tahoma"/>
            <family val="2"/>
          </rPr>
          <t xml:space="preserve">
Since in DH Plant, 3000MP produced 2093 kgs, prop. 5713 kwh considered in PES instead DH out of total , 121798 kwh
</t>
        </r>
      </text>
    </comment>
  </commentList>
</comments>
</file>

<file path=xl/comments2.xml><?xml version="1.0" encoding="utf-8"?>
<comments xmlns="http://schemas.openxmlformats.org/spreadsheetml/2006/main">
  <authors>
    <author>in00341</author>
  </authors>
  <commentList>
    <comment ref="E7" authorId="0">
      <text>
        <r>
          <rPr>
            <b/>
            <sz val="9"/>
            <color indexed="81"/>
            <rFont val="Tahoma"/>
            <family val="2"/>
          </rPr>
          <t>in00341:</t>
        </r>
        <r>
          <rPr>
            <sz val="9"/>
            <color indexed="81"/>
            <rFont val="Tahoma"/>
            <family val="2"/>
          </rPr>
          <t xml:space="preserve">
Since in DH Plant, 3000MP produced, considered 9418L in PES instead DH, as discussed with Biren</t>
        </r>
      </text>
    </comment>
    <comment ref="E8" authorId="0">
      <text>
        <r>
          <rPr>
            <b/>
            <sz val="9"/>
            <color indexed="81"/>
            <rFont val="Tahoma"/>
            <family val="2"/>
          </rPr>
          <t>in00341:</t>
        </r>
        <r>
          <rPr>
            <sz val="9"/>
            <color indexed="81"/>
            <rFont val="Tahoma"/>
            <family val="2"/>
          </rPr>
          <t xml:space="preserve">
Since in DH Plant, 3000MP produced, considered 9418L in PES instead DH, as discussed with Biren
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in00341:</t>
        </r>
        <r>
          <rPr>
            <sz val="9"/>
            <color indexed="81"/>
            <rFont val="Tahoma"/>
            <family val="2"/>
          </rPr>
          <t xml:space="preserve">
Since in DH Plant, 3000MP produced, considered 143 in PES instead DH, as discussed with Biren</t>
        </r>
      </text>
    </comment>
  </commentList>
</comments>
</file>

<file path=xl/sharedStrings.xml><?xml version="1.0" encoding="utf-8"?>
<sst xmlns="http://schemas.openxmlformats.org/spreadsheetml/2006/main" count="261" uniqueCount="134">
  <si>
    <t xml:space="preserve">Electricicty Expenses : Rs </t>
  </si>
  <si>
    <t>Less : Reim of ele. Bill to Dr Charati</t>
  </si>
  <si>
    <t xml:space="preserve">KWH Generated + purchased </t>
  </si>
  <si>
    <t>per kwh</t>
  </si>
  <si>
    <t>PES Plant</t>
  </si>
  <si>
    <t>Ratio</t>
  </si>
  <si>
    <t>Compounding</t>
  </si>
  <si>
    <t>PES Water Treatment</t>
  </si>
  <si>
    <t>DCDPS</t>
  </si>
  <si>
    <t xml:space="preserve">n-PEEK </t>
  </si>
  <si>
    <t>General Plant</t>
  </si>
  <si>
    <t>Total</t>
  </si>
  <si>
    <t>Semi Commercial  (EPO-Epispire batches-in process)</t>
  </si>
  <si>
    <t>CC</t>
  </si>
  <si>
    <t xml:space="preserve">Natural Gas consumption : Rs </t>
  </si>
  <si>
    <t xml:space="preserve">M3 used </t>
  </si>
  <si>
    <t>Steam Generated ton</t>
  </si>
  <si>
    <t>per ton sream</t>
  </si>
  <si>
    <t>per m3 natural gas</t>
  </si>
  <si>
    <t xml:space="preserve">Steam Cosumption </t>
  </si>
  <si>
    <t>Electricity Consumption  (KWH)</t>
  </si>
  <si>
    <t xml:space="preserve">Water charges Rs : </t>
  </si>
  <si>
    <t xml:space="preserve">KL used </t>
  </si>
  <si>
    <t xml:space="preserve">per KL </t>
  </si>
  <si>
    <r>
      <t xml:space="preserve">As against commited qty 15190 KL  - </t>
    </r>
    <r>
      <rPr>
        <b/>
        <sz val="10"/>
        <rFont val="Arial"/>
        <family val="2"/>
      </rPr>
      <t xml:space="preserve">For information </t>
    </r>
  </si>
  <si>
    <r>
      <t xml:space="preserve">(if commited qty utilised, per KL rate would be Rs 18.10 / kl) - </t>
    </r>
    <r>
      <rPr>
        <b/>
        <sz val="10"/>
        <rFont val="Arial"/>
        <family val="2"/>
      </rPr>
      <t xml:space="preserve">For information </t>
    </r>
  </si>
  <si>
    <t xml:space="preserve">Litre  Cosumption </t>
  </si>
  <si>
    <t xml:space="preserve">DHDPS </t>
  </si>
  <si>
    <t>G032000000</t>
  </si>
  <si>
    <t>G032000010</t>
  </si>
  <si>
    <t>G032787210</t>
  </si>
  <si>
    <t>G032788200</t>
  </si>
  <si>
    <t>G032788210</t>
  </si>
  <si>
    <t>G032788400</t>
  </si>
  <si>
    <t>G032788410</t>
  </si>
  <si>
    <t xml:space="preserve">Add : LDO Nil Ltr used for Power Generation </t>
  </si>
  <si>
    <t>G032300002</t>
  </si>
  <si>
    <t>G010500000</t>
  </si>
  <si>
    <t>O718400000</t>
  </si>
  <si>
    <t>Water</t>
  </si>
  <si>
    <t>Engg. Services</t>
  </si>
  <si>
    <t>Less : M'bai office CC O718400000</t>
  </si>
  <si>
    <t>Less : Mumbai office / G House / Dr Charati</t>
  </si>
  <si>
    <t>DGVCL Bill and GGE to provide</t>
  </si>
  <si>
    <t>Add : LDO 00 Ltr used in H oil</t>
  </si>
  <si>
    <t xml:space="preserve">As agst prov for GGE bill for Oct-09 913469 actual bill booked Rs 533028 </t>
  </si>
  <si>
    <t>= excess prov. Of Rs 380441. In GEB Bill adj of Appr Rs 15000 is for</t>
  </si>
  <si>
    <t>prev. period = Total Adj Rs 395441</t>
  </si>
  <si>
    <t>If we add the same in cost per unit cost = Rs 4.83 as agst Rs 4.20</t>
  </si>
  <si>
    <t>prev. month the same was Rs 5.97/KWH --&gt; For information</t>
  </si>
  <si>
    <t>prev. month the same was Rs 1061.17/ton --&gt; For information</t>
  </si>
  <si>
    <t xml:space="preserve">Semi Commercial  </t>
  </si>
  <si>
    <t>As per report - Steam Generated</t>
  </si>
  <si>
    <t>Eq. Steam for Gas consumption in Hot oil - Gas</t>
  </si>
  <si>
    <t>EPO</t>
  </si>
  <si>
    <t>Both are EPO as discussed with A Mehta</t>
  </si>
  <si>
    <t>kGS  Production</t>
  </si>
  <si>
    <t>Entered except for Compounding</t>
  </si>
  <si>
    <t>G032000099</t>
  </si>
  <si>
    <t>n-PEEK Compounding (Melt-filteration)</t>
  </si>
  <si>
    <t>G032000015</t>
  </si>
  <si>
    <t>Total Power</t>
  </si>
  <si>
    <t>Compounding - n-PEEK Melt filteration</t>
  </si>
  <si>
    <t xml:space="preserve">General </t>
  </si>
  <si>
    <t>based on Ins Capa</t>
  </si>
  <si>
    <t>allocn based on inst capacity</t>
  </si>
  <si>
    <t>General</t>
  </si>
  <si>
    <t>allocation based on Inst capacity</t>
  </si>
  <si>
    <t>R &amp; D</t>
  </si>
  <si>
    <t>Aqua</t>
  </si>
  <si>
    <t>Construction</t>
  </si>
  <si>
    <t>SKF Ref</t>
  </si>
  <si>
    <t>Eq. Steam for Gas consumption in Hot oil - LDO/HSD</t>
  </si>
  <si>
    <t>PES Water Treatment (PES-OH)</t>
  </si>
  <si>
    <t xml:space="preserve">@ 10 INR / UNIT to be transfer to CC G0     D </t>
  </si>
  <si>
    <t xml:space="preserve">Production details submitted from Operation group needs to be verified using tcode S_ALR_87013611 - Cost Centers: Actual/Plan/Variance </t>
  </si>
  <si>
    <t>RPES Plant</t>
  </si>
  <si>
    <t>For allocn of general power</t>
  </si>
  <si>
    <t>G032788220</t>
  </si>
  <si>
    <t>Installed capacity SKF DEC-13 onwards PES Plant</t>
  </si>
  <si>
    <t>Installed capacity SKF DEC-13 onwards RPES Plant</t>
  </si>
  <si>
    <t>Installed capacity SKF DEC-13 onwards DHDPS Plant</t>
  </si>
  <si>
    <t>Installed capacity SKF DEC-13 onwards DCDPS Plant</t>
  </si>
  <si>
    <t>Installed capacity SKF DEC-13 onwards n-PEEK Plant</t>
  </si>
  <si>
    <t>RPES Water Treatment</t>
  </si>
  <si>
    <t>G032788225</t>
  </si>
  <si>
    <t>RPES Water Treatment (PES-OH)</t>
  </si>
  <si>
    <t>340357100000</t>
  </si>
  <si>
    <t>multiply by 10</t>
  </si>
  <si>
    <t>ZZPROD</t>
  </si>
  <si>
    <t>G0WATR</t>
  </si>
  <si>
    <t>Production SKF JUL-14</t>
  </si>
  <si>
    <t>Production SKF JUL-14 - DCDPS</t>
  </si>
  <si>
    <t>Production SKF JUL-14 - SULFONES COMP</t>
  </si>
  <si>
    <t>Production SKF JUL-14 - PES Water Powder</t>
  </si>
  <si>
    <t>Production SKF JUL-14 - RPES Water Powder</t>
  </si>
  <si>
    <t>Production SKF JUL-14 - PES Powder</t>
  </si>
  <si>
    <t>Production SKF JUL-14 - RPES Powder</t>
  </si>
  <si>
    <t>Production SKF JUL-14 - KETONES COMP</t>
  </si>
  <si>
    <t>Production SKF JUL-14 - n-PEEK</t>
  </si>
  <si>
    <t>Production SKF JUL-14 - DHDPS</t>
  </si>
  <si>
    <t>SKF's Data for JUL-14</t>
  </si>
  <si>
    <t>Electricity Consumption JUL-14</t>
  </si>
  <si>
    <t>Electricity Consumption JUL-14 - PES</t>
  </si>
  <si>
    <t>Electricity Consumption JUL-14 - RPES</t>
  </si>
  <si>
    <t>Electricity Consumption JUL-14 - DHDPS</t>
  </si>
  <si>
    <t>Electricity Consumption JUL-14 - DCDPS</t>
  </si>
  <si>
    <t>Electricity Consumption JUL-14 - n-PEEK</t>
  </si>
  <si>
    <t>Electricity Consumption JUL-14 - Compounding</t>
  </si>
  <si>
    <t xml:space="preserve">Electricity Consumption JUL-14 - PES Water </t>
  </si>
  <si>
    <t>Electricity Consumption JUL-14 - Compounding NPEEK</t>
  </si>
  <si>
    <t>Electricity Consumption JUL-14 - Semi Commercial</t>
  </si>
  <si>
    <t>Steam Consumption JUL-14</t>
  </si>
  <si>
    <t>Steam Consumption JUL-14 - PES</t>
  </si>
  <si>
    <t>Steam Consumption JUL-14 - RPES</t>
  </si>
  <si>
    <t>Steam Consumption JUL-14 - DCDPS</t>
  </si>
  <si>
    <t>Steam Consumption JUL-14 - DHDPS</t>
  </si>
  <si>
    <t>Steam Consumption JUL-14 - PES Wtr Powder</t>
  </si>
  <si>
    <t>Steam Consumption JUL-14 - RPES Wtr Powder</t>
  </si>
  <si>
    <t>Steam Consumption JUL-14 - n-PEEK</t>
  </si>
  <si>
    <t>Water Consumption JUL-14</t>
  </si>
  <si>
    <t>Water Consumption JUL-14 - PES</t>
  </si>
  <si>
    <t>Water Consumption JUL-14 - RPES</t>
  </si>
  <si>
    <t>Water Consumption JUL-14 - DHDPS</t>
  </si>
  <si>
    <t>Water Consumption JUL-14 - DCDPS</t>
  </si>
  <si>
    <t>Water Consumption JUL-14 - N PEEK</t>
  </si>
  <si>
    <t>STK Ref</t>
  </si>
  <si>
    <t>Electricity - G0KWH0</t>
  </si>
  <si>
    <t>Stream - G0STEA</t>
  </si>
  <si>
    <t>Water - G0WATR</t>
  </si>
  <si>
    <t>Production - ZZPROD</t>
  </si>
  <si>
    <t>Inst Capacity - G0INCA</t>
  </si>
  <si>
    <t xml:space="preserve">Electricity Consumption JUL-14 - RPES Water </t>
  </si>
  <si>
    <t>As per mail dated 04.08.2014 from Biren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</si>
</sst>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76" formatCode="_(* #,##0_);_(* \(#,##0\);_(* &quot;-&quot;??_);_(@_)"/>
  </numFmts>
  <fonts count="1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13.5"/>
      <color indexed="1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b/>
      <sz val="13.5"/>
      <color rgb="FF00008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indexed="18"/>
      <name val="Arial"/>
      <family val="2"/>
    </font>
    <font>
      <b/>
      <sz val="10"/>
      <color theme="5"/>
      <name val="Arial"/>
      <family val="2"/>
    </font>
    <font>
      <b/>
      <sz val="13.5"/>
      <color rgb="FF00206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4">
    <xf numFmtId="0" fontId="0" fillId="0" borderId="0" xfId="0"/>
    <xf numFmtId="43" fontId="0" fillId="0" borderId="0" xfId="1" applyFont="1"/>
    <xf numFmtId="43" fontId="0" fillId="0" borderId="0" xfId="0" applyNumberFormat="1"/>
    <xf numFmtId="0" fontId="3" fillId="0" borderId="0" xfId="0" applyFont="1"/>
    <xf numFmtId="43" fontId="3" fillId="0" borderId="0" xfId="1" applyFont="1"/>
    <xf numFmtId="4" fontId="0" fillId="0" borderId="0" xfId="0" applyNumberFormat="1"/>
    <xf numFmtId="4" fontId="3" fillId="0" borderId="0" xfId="0" applyNumberFormat="1" applyFont="1"/>
    <xf numFmtId="0" fontId="0" fillId="0" borderId="0" xfId="0" quotePrefix="1"/>
    <xf numFmtId="0" fontId="4" fillId="0" borderId="0" xfId="0" applyFont="1"/>
    <xf numFmtId="3" fontId="0" fillId="0" borderId="0" xfId="0" applyNumberFormat="1"/>
    <xf numFmtId="43" fontId="3" fillId="0" borderId="0" xfId="0" applyNumberFormat="1" applyFont="1"/>
    <xf numFmtId="176" fontId="0" fillId="0" borderId="0" xfId="1" applyNumberFormat="1" applyFont="1"/>
    <xf numFmtId="43" fontId="0" fillId="0" borderId="0" xfId="1" applyNumberFormat="1" applyFont="1"/>
    <xf numFmtId="0" fontId="0" fillId="0" borderId="0" xfId="0" applyFill="1"/>
    <xf numFmtId="43" fontId="4" fillId="0" borderId="0" xfId="1" applyFont="1" applyFill="1"/>
    <xf numFmtId="43" fontId="4" fillId="0" borderId="0" xfId="0" applyNumberFormat="1" applyFont="1" applyFill="1"/>
    <xf numFmtId="43" fontId="0" fillId="0" borderId="0" xfId="1" applyFont="1" applyFill="1"/>
    <xf numFmtId="0" fontId="3" fillId="0" borderId="0" xfId="0" applyFont="1" applyFill="1"/>
    <xf numFmtId="3" fontId="0" fillId="0" borderId="0" xfId="0" applyNumberFormat="1" applyFill="1"/>
    <xf numFmtId="4" fontId="0" fillId="0" borderId="0" xfId="0" applyNumberFormat="1" applyFill="1"/>
    <xf numFmtId="43" fontId="0" fillId="0" borderId="0" xfId="0" applyNumberFormat="1" applyFill="1"/>
    <xf numFmtId="0" fontId="3" fillId="3" borderId="0" xfId="0" applyFont="1" applyFill="1"/>
    <xf numFmtId="43" fontId="3" fillId="3" borderId="0" xfId="1" applyFont="1" applyFill="1"/>
    <xf numFmtId="43" fontId="0" fillId="3" borderId="0" xfId="1" applyFont="1" applyFill="1"/>
    <xf numFmtId="0" fontId="5" fillId="0" borderId="0" xfId="0" applyFont="1" applyFill="1"/>
    <xf numFmtId="3" fontId="3" fillId="0" borderId="0" xfId="0" applyNumberFormat="1" applyFont="1"/>
    <xf numFmtId="0" fontId="8" fillId="0" borderId="0" xfId="0" applyFont="1"/>
    <xf numFmtId="0" fontId="0" fillId="4" borderId="0" xfId="0" applyFill="1"/>
    <xf numFmtId="0" fontId="9" fillId="0" borderId="0" xfId="0" applyFont="1"/>
    <xf numFmtId="43" fontId="1" fillId="0" borderId="0" xfId="0" applyNumberFormat="1" applyFont="1"/>
    <xf numFmtId="176" fontId="3" fillId="0" borderId="0" xfId="1" applyNumberFormat="1" applyFont="1"/>
    <xf numFmtId="0" fontId="1" fillId="0" borderId="0" xfId="0" applyFont="1" applyFill="1"/>
    <xf numFmtId="0" fontId="1" fillId="0" borderId="0" xfId="0" applyFont="1"/>
    <xf numFmtId="0" fontId="1" fillId="2" borderId="0" xfId="0" applyFont="1" applyFill="1"/>
    <xf numFmtId="43" fontId="1" fillId="0" borderId="0" xfId="1" applyFont="1" applyFill="1"/>
    <xf numFmtId="43" fontId="1" fillId="0" borderId="0" xfId="1" applyNumberFormat="1" applyFont="1"/>
    <xf numFmtId="3" fontId="1" fillId="0" borderId="0" xfId="0" applyNumberFormat="1" applyFont="1" applyFill="1"/>
    <xf numFmtId="176" fontId="1" fillId="0" borderId="0" xfId="1" applyNumberFormat="1" applyFont="1"/>
    <xf numFmtId="0" fontId="12" fillId="0" borderId="0" xfId="0" applyFont="1" applyFill="1"/>
    <xf numFmtId="4" fontId="1" fillId="0" borderId="0" xfId="0" applyNumberFormat="1" applyFont="1" applyFill="1"/>
    <xf numFmtId="0" fontId="0" fillId="5" borderId="0" xfId="0" applyFill="1"/>
    <xf numFmtId="0" fontId="5" fillId="5" borderId="0" xfId="0" applyFont="1" applyFill="1"/>
    <xf numFmtId="43" fontId="3" fillId="5" borderId="0" xfId="1" applyFont="1" applyFill="1"/>
    <xf numFmtId="43" fontId="0" fillId="5" borderId="0" xfId="0" applyNumberFormat="1" applyFill="1"/>
    <xf numFmtId="0" fontId="1" fillId="5" borderId="0" xfId="0" applyFont="1" applyFill="1"/>
    <xf numFmtId="0" fontId="3" fillId="5" borderId="0" xfId="0" applyFont="1" applyFill="1"/>
    <xf numFmtId="0" fontId="10" fillId="6" borderId="0" xfId="0" applyFont="1" applyFill="1"/>
    <xf numFmtId="0" fontId="11" fillId="6" borderId="0" xfId="0" applyFont="1" applyFill="1"/>
    <xf numFmtId="0" fontId="10" fillId="6" borderId="0" xfId="0" applyFont="1" applyFill="1" applyAlignment="1">
      <alignment horizontal="center"/>
    </xf>
    <xf numFmtId="43" fontId="3" fillId="0" borderId="0" xfId="1" applyFont="1" applyFill="1"/>
    <xf numFmtId="43" fontId="3" fillId="7" borderId="0" xfId="1" applyFont="1" applyFill="1"/>
    <xf numFmtId="0" fontId="3" fillId="7" borderId="0" xfId="0" applyFont="1" applyFill="1"/>
    <xf numFmtId="0" fontId="13" fillId="0" borderId="0" xfId="0" applyFont="1"/>
    <xf numFmtId="0" fontId="14" fillId="6" borderId="0" xfId="0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rgb="FF92D050"/>
  </sheetPr>
  <dimension ref="A2:I53"/>
  <sheetViews>
    <sheetView tabSelected="1" topLeftCell="A12" zoomScaleNormal="100" workbookViewId="0">
      <selection activeCell="A46" sqref="A46"/>
    </sheetView>
  </sheetViews>
  <sheetFormatPr defaultRowHeight="12.75" x14ac:dyDescent="0.2"/>
  <cols>
    <col min="1" max="1" width="48.7109375" customWidth="1"/>
    <col min="2" max="2" width="14.28515625" bestFit="1" customWidth="1"/>
    <col min="3" max="3" width="17.42578125" customWidth="1"/>
    <col min="4" max="4" width="49.28515625" customWidth="1"/>
    <col min="5" max="5" width="18" bestFit="1" customWidth="1"/>
  </cols>
  <sheetData>
    <row r="2" spans="1:5" x14ac:dyDescent="0.2">
      <c r="A2" s="52" t="s">
        <v>127</v>
      </c>
    </row>
    <row r="3" spans="1:5" s="47" customFormat="1" x14ac:dyDescent="0.2">
      <c r="A3" s="46" t="s">
        <v>101</v>
      </c>
    </row>
    <row r="5" spans="1:5" hidden="1" x14ac:dyDescent="0.2">
      <c r="A5" t="s">
        <v>0</v>
      </c>
      <c r="B5" s="1">
        <f>62999.25+708192</f>
        <v>771191.25</v>
      </c>
      <c r="C5" t="s">
        <v>45</v>
      </c>
      <c r="D5" s="1"/>
    </row>
    <row r="6" spans="1:5" hidden="1" x14ac:dyDescent="0.2">
      <c r="A6" t="s">
        <v>42</v>
      </c>
      <c r="B6" s="1">
        <v>-23342</v>
      </c>
      <c r="C6" s="7" t="s">
        <v>46</v>
      </c>
      <c r="D6" s="1"/>
    </row>
    <row r="7" spans="1:5" hidden="1" x14ac:dyDescent="0.2">
      <c r="B7" s="1"/>
      <c r="C7" t="s">
        <v>47</v>
      </c>
      <c r="D7" s="1"/>
    </row>
    <row r="8" spans="1:5" hidden="1" x14ac:dyDescent="0.2">
      <c r="A8" t="s">
        <v>35</v>
      </c>
      <c r="B8" s="1">
        <v>0</v>
      </c>
      <c r="C8" t="s">
        <v>48</v>
      </c>
      <c r="D8" s="1"/>
    </row>
    <row r="9" spans="1:5" hidden="1" x14ac:dyDescent="0.2">
      <c r="B9" s="2">
        <f>SUM(B5:B8)</f>
        <v>747849.25</v>
      </c>
      <c r="C9" t="s">
        <v>49</v>
      </c>
    </row>
    <row r="10" spans="1:5" hidden="1" x14ac:dyDescent="0.2">
      <c r="A10" t="s">
        <v>2</v>
      </c>
      <c r="B10" s="1">
        <f>122560+477804</f>
        <v>600364</v>
      </c>
    </row>
    <row r="11" spans="1:5" hidden="1" x14ac:dyDescent="0.2">
      <c r="A11" t="s">
        <v>3</v>
      </c>
      <c r="B11" s="1">
        <f>ROUND(B9/B10,2)</f>
        <v>1.25</v>
      </c>
      <c r="C11" t="s">
        <v>43</v>
      </c>
    </row>
    <row r="12" spans="1:5" x14ac:dyDescent="0.2">
      <c r="B12" s="1"/>
      <c r="E12" s="48" t="s">
        <v>63</v>
      </c>
    </row>
    <row r="13" spans="1:5" s="47" customFormat="1" x14ac:dyDescent="0.2">
      <c r="A13" s="48" t="s">
        <v>20</v>
      </c>
      <c r="B13" s="48" t="s">
        <v>5</v>
      </c>
      <c r="C13" s="48" t="s">
        <v>13</v>
      </c>
      <c r="E13" s="48" t="s">
        <v>64</v>
      </c>
    </row>
    <row r="14" spans="1:5" x14ac:dyDescent="0.2">
      <c r="A14" t="s">
        <v>4</v>
      </c>
      <c r="B14" s="22">
        <f>ROUND((388726+15233+E14)/'pRODUCTION - ZZPROD'!H16*'pRODUCTION - ZZPROD'!H14,0)</f>
        <v>481772</v>
      </c>
      <c r="C14" t="s">
        <v>31</v>
      </c>
      <c r="E14" s="2">
        <f>ROUND($B$34*30%,0)</f>
        <v>77813</v>
      </c>
    </row>
    <row r="15" spans="1:5" x14ac:dyDescent="0.2">
      <c r="A15" t="s">
        <v>76</v>
      </c>
      <c r="B15" s="22">
        <v>0</v>
      </c>
      <c r="C15" t="s">
        <v>78</v>
      </c>
      <c r="E15" s="2"/>
    </row>
    <row r="16" spans="1:5" x14ac:dyDescent="0.2">
      <c r="A16" t="s">
        <v>51</v>
      </c>
      <c r="B16" s="22">
        <f>0+E16</f>
        <v>0</v>
      </c>
      <c r="C16" t="s">
        <v>58</v>
      </c>
      <c r="D16" t="s">
        <v>55</v>
      </c>
    </row>
    <row r="17" spans="1:9" x14ac:dyDescent="0.2">
      <c r="A17" t="s">
        <v>54</v>
      </c>
      <c r="B17" s="23"/>
      <c r="D17" t="s">
        <v>55</v>
      </c>
    </row>
    <row r="18" spans="1:9" x14ac:dyDescent="0.2">
      <c r="A18" t="s">
        <v>6</v>
      </c>
      <c r="B18" s="22">
        <f>ROUND((97138/('pRODUCTION - ZZPROD'!B17+'pRODUCTION - ZZPROD'!B18))*'pRODUCTION - ZZPROD'!B17,0)</f>
        <v>68279</v>
      </c>
      <c r="C18" t="s">
        <v>29</v>
      </c>
    </row>
    <row r="19" spans="1:9" x14ac:dyDescent="0.2">
      <c r="A19" t="s">
        <v>62</v>
      </c>
      <c r="B19" s="22">
        <f>ROUND((97138/('pRODUCTION - ZZPROD'!B17+'pRODUCTION - ZZPROD'!B18))*'pRODUCTION - ZZPROD'!B18,0)</f>
        <v>28859</v>
      </c>
      <c r="C19" t="s">
        <v>60</v>
      </c>
    </row>
    <row r="20" spans="1:9" x14ac:dyDescent="0.2">
      <c r="A20" t="s">
        <v>27</v>
      </c>
      <c r="B20" s="22">
        <f>104757+E20</f>
        <v>138476</v>
      </c>
      <c r="C20" t="s">
        <v>33</v>
      </c>
      <c r="E20" s="2">
        <f>ROUND($B$34*13%,0)</f>
        <v>33719</v>
      </c>
    </row>
    <row r="21" spans="1:9" x14ac:dyDescent="0.2">
      <c r="A21" t="s">
        <v>73</v>
      </c>
      <c r="B21" s="22">
        <f>ROUND(12657/('pRODUCTION - ZZPROD'!B20+'pRODUCTION - ZZPROD'!B21)*'pRODUCTION - ZZPROD'!B20,0)</f>
        <v>9188</v>
      </c>
      <c r="C21" t="s">
        <v>32</v>
      </c>
    </row>
    <row r="22" spans="1:9" x14ac:dyDescent="0.2">
      <c r="A22" t="s">
        <v>86</v>
      </c>
      <c r="B22" s="22">
        <f>ROUND(12657/('pRODUCTION - ZZPROD'!B20+'pRODUCTION - ZZPROD'!B21)*'pRODUCTION - ZZPROD'!B21,0)</f>
        <v>3469</v>
      </c>
      <c r="C22" t="s">
        <v>85</v>
      </c>
    </row>
    <row r="23" spans="1:9" x14ac:dyDescent="0.2">
      <c r="A23" t="s">
        <v>8</v>
      </c>
      <c r="B23" s="22">
        <f>336530+E23</f>
        <v>396187</v>
      </c>
      <c r="C23" t="s">
        <v>34</v>
      </c>
      <c r="E23" s="2">
        <f>ROUND($B$34*23%,0)</f>
        <v>59657</v>
      </c>
    </row>
    <row r="24" spans="1:9" x14ac:dyDescent="0.2">
      <c r="A24" t="s">
        <v>9</v>
      </c>
      <c r="B24" s="22">
        <f>387726+172538+E24</f>
        <v>648453</v>
      </c>
      <c r="C24" t="s">
        <v>30</v>
      </c>
      <c r="E24" s="2">
        <f>ROUND($B$34*34%,0)</f>
        <v>88189</v>
      </c>
    </row>
    <row r="25" spans="1:9" x14ac:dyDescent="0.2">
      <c r="B25" s="1"/>
    </row>
    <row r="26" spans="1:9" x14ac:dyDescent="0.2">
      <c r="A26" t="s">
        <v>11</v>
      </c>
      <c r="B26" s="4">
        <f>SUM(B14:B25)</f>
        <v>1774683</v>
      </c>
      <c r="E26" s="4">
        <f>SUM(E14:E25)</f>
        <v>259378</v>
      </c>
      <c r="I26">
        <v>2345531</v>
      </c>
    </row>
    <row r="27" spans="1:9" x14ac:dyDescent="0.2">
      <c r="I27" s="2">
        <f>I26/B26</f>
        <v>1.3216619531488158</v>
      </c>
    </row>
    <row r="28" spans="1:9" x14ac:dyDescent="0.2">
      <c r="A28" t="s">
        <v>68</v>
      </c>
    </row>
    <row r="29" spans="1:9" ht="17.25" x14ac:dyDescent="0.25">
      <c r="A29" t="s">
        <v>69</v>
      </c>
      <c r="B29" s="42">
        <v>20791</v>
      </c>
      <c r="C29" s="7" t="s">
        <v>87</v>
      </c>
      <c r="D29" s="7" t="s">
        <v>74</v>
      </c>
      <c r="E29" s="41">
        <v>6511132793</v>
      </c>
      <c r="F29" t="s">
        <v>88</v>
      </c>
    </row>
    <row r="30" spans="1:9" x14ac:dyDescent="0.2">
      <c r="A30" t="s">
        <v>70</v>
      </c>
    </row>
    <row r="31" spans="1:9" x14ac:dyDescent="0.2">
      <c r="A31" t="s">
        <v>61</v>
      </c>
      <c r="B31" s="10">
        <f>SUM(B26:B30)</f>
        <v>1795474</v>
      </c>
      <c r="E31" s="12"/>
    </row>
    <row r="33" spans="1:6" x14ac:dyDescent="0.2">
      <c r="E33" s="2"/>
    </row>
    <row r="34" spans="1:6" x14ac:dyDescent="0.2">
      <c r="A34" t="s">
        <v>10</v>
      </c>
      <c r="B34" s="42">
        <v>259378</v>
      </c>
      <c r="C34" t="s">
        <v>28</v>
      </c>
    </row>
    <row r="35" spans="1:6" x14ac:dyDescent="0.2">
      <c r="A35" s="2"/>
      <c r="B35" s="9"/>
      <c r="E35" s="11"/>
    </row>
    <row r="36" spans="1:6" x14ac:dyDescent="0.2">
      <c r="B36" s="9"/>
      <c r="E36" s="11"/>
    </row>
    <row r="37" spans="1:6" x14ac:dyDescent="0.2">
      <c r="B37" s="9"/>
      <c r="E37" s="11"/>
    </row>
    <row r="38" spans="1:6" s="47" customFormat="1" ht="17.25" x14ac:dyDescent="0.25">
      <c r="B38" s="53">
        <v>400127427</v>
      </c>
      <c r="C38" s="48" t="s">
        <v>71</v>
      </c>
    </row>
    <row r="39" spans="1:6" x14ac:dyDescent="0.2">
      <c r="B39" s="9"/>
    </row>
    <row r="40" spans="1:6" x14ac:dyDescent="0.2">
      <c r="B40" s="9"/>
      <c r="D40" s="3" t="s">
        <v>102</v>
      </c>
    </row>
    <row r="41" spans="1:6" x14ac:dyDescent="0.2">
      <c r="B41" s="9"/>
    </row>
    <row r="42" spans="1:6" x14ac:dyDescent="0.2">
      <c r="B42" s="20"/>
      <c r="C42" t="str">
        <f>C14</f>
        <v>G032788200</v>
      </c>
      <c r="D42" t="s">
        <v>103</v>
      </c>
      <c r="E42" s="43">
        <f>B14</f>
        <v>481772</v>
      </c>
      <c r="F42" t="str">
        <f>A14</f>
        <v>PES Plant</v>
      </c>
    </row>
    <row r="43" spans="1:6" x14ac:dyDescent="0.2">
      <c r="B43" s="20"/>
      <c r="C43" t="str">
        <f>C15</f>
        <v>G032788220</v>
      </c>
      <c r="D43" t="s">
        <v>104</v>
      </c>
      <c r="E43" s="43">
        <f>B15</f>
        <v>0</v>
      </c>
      <c r="F43" t="s">
        <v>76</v>
      </c>
    </row>
    <row r="44" spans="1:6" x14ac:dyDescent="0.2">
      <c r="B44" s="20"/>
      <c r="C44" t="str">
        <f>C20</f>
        <v>G032788400</v>
      </c>
      <c r="D44" t="s">
        <v>105</v>
      </c>
      <c r="E44" s="43">
        <f>B20</f>
        <v>138476</v>
      </c>
      <c r="F44" t="str">
        <f>A20</f>
        <v xml:space="preserve">DHDPS </v>
      </c>
    </row>
    <row r="45" spans="1:6" x14ac:dyDescent="0.2">
      <c r="B45" s="20"/>
      <c r="C45" t="str">
        <f>C23</f>
        <v>G032788410</v>
      </c>
      <c r="D45" t="s">
        <v>106</v>
      </c>
      <c r="E45" s="43">
        <f>B23</f>
        <v>396187</v>
      </c>
      <c r="F45" t="str">
        <f>A23</f>
        <v>DCDPS</v>
      </c>
    </row>
    <row r="46" spans="1:6" x14ac:dyDescent="0.2">
      <c r="B46" s="20"/>
      <c r="C46" t="str">
        <f>C24</f>
        <v>G032787210</v>
      </c>
      <c r="D46" t="s">
        <v>107</v>
      </c>
      <c r="E46" s="43">
        <f>B24</f>
        <v>648453</v>
      </c>
      <c r="F46" t="str">
        <f>A24</f>
        <v xml:space="preserve">n-PEEK </v>
      </c>
    </row>
    <row r="47" spans="1:6" x14ac:dyDescent="0.2">
      <c r="B47" s="20"/>
      <c r="C47" t="str">
        <f>C18</f>
        <v>G032000010</v>
      </c>
      <c r="D47" t="s">
        <v>108</v>
      </c>
      <c r="E47" s="43">
        <f>B18</f>
        <v>68279</v>
      </c>
      <c r="F47" t="str">
        <f>A18</f>
        <v>Compounding</v>
      </c>
    </row>
    <row r="48" spans="1:6" x14ac:dyDescent="0.2">
      <c r="B48" s="20"/>
      <c r="C48" t="str">
        <f>C21</f>
        <v>G032788210</v>
      </c>
      <c r="D48" t="s">
        <v>109</v>
      </c>
      <c r="E48" s="43">
        <f>B21</f>
        <v>9188</v>
      </c>
      <c r="F48" t="str">
        <f>A21</f>
        <v>PES Water Treatment (PES-OH)</v>
      </c>
    </row>
    <row r="49" spans="2:6" x14ac:dyDescent="0.2">
      <c r="B49" s="20"/>
      <c r="C49" t="s">
        <v>85</v>
      </c>
      <c r="D49" s="32" t="s">
        <v>132</v>
      </c>
      <c r="E49" s="43">
        <f>B22</f>
        <v>3469</v>
      </c>
      <c r="F49" t="str">
        <f>A22</f>
        <v>RPES Water Treatment (PES-OH)</v>
      </c>
    </row>
    <row r="50" spans="2:6" x14ac:dyDescent="0.2">
      <c r="B50" s="20"/>
      <c r="C50" t="str">
        <f>C19</f>
        <v>G032000015</v>
      </c>
      <c r="D50" t="s">
        <v>110</v>
      </c>
      <c r="E50" s="43">
        <f>B19</f>
        <v>28859</v>
      </c>
      <c r="F50" t="str">
        <f>A19</f>
        <v>Compounding - n-PEEK Melt filteration</v>
      </c>
    </row>
    <row r="51" spans="2:6" x14ac:dyDescent="0.2">
      <c r="B51" s="20"/>
      <c r="C51" t="str">
        <f>C16</f>
        <v>G032000099</v>
      </c>
      <c r="D51" t="s">
        <v>111</v>
      </c>
      <c r="E51" s="43">
        <f>B16</f>
        <v>0</v>
      </c>
      <c r="F51" t="str">
        <f>A16</f>
        <v xml:space="preserve">Semi Commercial  </v>
      </c>
    </row>
    <row r="53" spans="2:6" x14ac:dyDescent="0.2">
      <c r="B53" s="9"/>
    </row>
  </sheetData>
  <phoneticPr fontId="2" type="noConversion"/>
  <printOptions gridLines="1"/>
  <pageMargins left="0.75" right="0.75" top="1" bottom="1" header="0.5" footer="0.5"/>
  <pageSetup paperSize="9" orientation="landscape" r:id="rId1"/>
  <headerFooter alignWithMargins="0">
    <oddFooter>&amp;L&amp;Z&amp;F  SHEET &amp;A&amp;R&amp;D   &amp;T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rgb="FF92D050"/>
  </sheetPr>
  <dimension ref="A2:J67"/>
  <sheetViews>
    <sheetView zoomScaleNormal="100" workbookViewId="0">
      <selection activeCell="B36" sqref="B36"/>
    </sheetView>
  </sheetViews>
  <sheetFormatPr defaultRowHeight="12.75" x14ac:dyDescent="0.2"/>
  <cols>
    <col min="1" max="1" width="48.7109375" style="32" customWidth="1"/>
    <col min="2" max="2" width="14.7109375" style="31" bestFit="1" customWidth="1"/>
    <col min="3" max="3" width="13.28515625" style="32" customWidth="1"/>
    <col min="4" max="5" width="9.140625" style="32"/>
    <col min="6" max="6" width="12.85546875" style="32" bestFit="1" customWidth="1"/>
    <col min="7" max="7" width="11.42578125" style="32" customWidth="1"/>
    <col min="8" max="8" width="10.85546875" style="32" customWidth="1"/>
    <col min="9" max="9" width="27.85546875" style="32" customWidth="1"/>
    <col min="10" max="16384" width="9.140625" style="32"/>
  </cols>
  <sheetData>
    <row r="2" spans="1:9" x14ac:dyDescent="0.2">
      <c r="A2" s="52" t="s">
        <v>128</v>
      </c>
    </row>
    <row r="3" spans="1:9" x14ac:dyDescent="0.2">
      <c r="A3" s="46" t="str">
        <f>'Electricity - G0KWH0'!A3</f>
        <v>SKF's Data for JUL-14</v>
      </c>
    </row>
    <row r="5" spans="1:9" hidden="1" x14ac:dyDescent="0.2">
      <c r="A5" s="8" t="s">
        <v>14</v>
      </c>
      <c r="B5" s="14">
        <v>2097955</v>
      </c>
    </row>
    <row r="6" spans="1:9" hidden="1" x14ac:dyDescent="0.2">
      <c r="A6" s="8" t="s">
        <v>1</v>
      </c>
      <c r="B6" s="14">
        <v>0</v>
      </c>
    </row>
    <row r="7" spans="1:9" hidden="1" x14ac:dyDescent="0.2">
      <c r="A7" s="8" t="s">
        <v>44</v>
      </c>
      <c r="B7" s="14"/>
      <c r="F7" s="33"/>
    </row>
    <row r="8" spans="1:9" hidden="1" x14ac:dyDescent="0.2">
      <c r="A8" s="8"/>
      <c r="B8" s="14"/>
      <c r="F8" s="33"/>
    </row>
    <row r="9" spans="1:9" hidden="1" x14ac:dyDescent="0.2">
      <c r="A9" s="8"/>
      <c r="B9" s="14"/>
      <c r="F9" s="33"/>
    </row>
    <row r="10" spans="1:9" hidden="1" x14ac:dyDescent="0.2">
      <c r="A10" s="8"/>
      <c r="B10" s="15">
        <f>SUM(B5:B7)</f>
        <v>2097955</v>
      </c>
      <c r="F10" s="33"/>
    </row>
    <row r="11" spans="1:9" hidden="1" x14ac:dyDescent="0.2">
      <c r="A11" s="8" t="s">
        <v>15</v>
      </c>
      <c r="B11" s="14">
        <f>135433+36878</f>
        <v>172311</v>
      </c>
      <c r="F11" s="33"/>
    </row>
    <row r="12" spans="1:9" hidden="1" x14ac:dyDescent="0.2">
      <c r="A12" s="8" t="s">
        <v>16</v>
      </c>
      <c r="B12" s="14">
        <f>1568+F12</f>
        <v>1568</v>
      </c>
      <c r="F12" s="33"/>
    </row>
    <row r="13" spans="1:9" hidden="1" x14ac:dyDescent="0.2">
      <c r="A13" s="8" t="s">
        <v>18</v>
      </c>
      <c r="B13" s="14">
        <f>ROUND(B10/B11,2)</f>
        <v>12.18</v>
      </c>
    </row>
    <row r="14" spans="1:9" x14ac:dyDescent="0.2">
      <c r="A14" s="8" t="s">
        <v>17</v>
      </c>
      <c r="B14" s="14">
        <f>B10/B12</f>
        <v>1337.9815051020407</v>
      </c>
      <c r="C14" s="8" t="s">
        <v>50</v>
      </c>
      <c r="I14" s="48" t="s">
        <v>63</v>
      </c>
    </row>
    <row r="15" spans="1:9" x14ac:dyDescent="0.2">
      <c r="B15" s="34"/>
      <c r="I15" s="46" t="s">
        <v>65</v>
      </c>
    </row>
    <row r="16" spans="1:9" s="47" customFormat="1" x14ac:dyDescent="0.2">
      <c r="A16" s="46" t="s">
        <v>19</v>
      </c>
      <c r="B16" s="46" t="s">
        <v>5</v>
      </c>
      <c r="C16" s="46" t="s">
        <v>13</v>
      </c>
    </row>
    <row r="17" spans="1:9" x14ac:dyDescent="0.2">
      <c r="A17" s="32" t="s">
        <v>4</v>
      </c>
      <c r="B17" s="21">
        <f>ROUND((3156+492)/'pRODUCTION - ZZPROD'!H16*'pRODUCTION - ZZPROD'!H14,0)</f>
        <v>3648</v>
      </c>
      <c r="C17" s="32" t="s">
        <v>31</v>
      </c>
      <c r="I17" s="32">
        <f>ROUND($B$33*30%,0)</f>
        <v>0</v>
      </c>
    </row>
    <row r="18" spans="1:9" x14ac:dyDescent="0.2">
      <c r="A18" s="32" t="s">
        <v>76</v>
      </c>
      <c r="B18" s="21">
        <v>0</v>
      </c>
      <c r="C18" s="32" t="s">
        <v>78</v>
      </c>
    </row>
    <row r="19" spans="1:9" x14ac:dyDescent="0.2">
      <c r="A19" s="32" t="s">
        <v>12</v>
      </c>
      <c r="B19" s="21">
        <v>0</v>
      </c>
      <c r="C19" s="32" t="s">
        <v>58</v>
      </c>
    </row>
    <row r="20" spans="1:9" x14ac:dyDescent="0.2">
      <c r="A20" s="32" t="s">
        <v>6</v>
      </c>
      <c r="C20" s="32" t="s">
        <v>29</v>
      </c>
    </row>
    <row r="21" spans="1:9" x14ac:dyDescent="0.2">
      <c r="A21" s="32" t="s">
        <v>27</v>
      </c>
      <c r="B21" s="21">
        <f>887+295+0</f>
        <v>1182</v>
      </c>
      <c r="C21" s="32" t="s">
        <v>33</v>
      </c>
      <c r="I21" s="32">
        <f>ROUND($B$33*13%,0)</f>
        <v>0</v>
      </c>
    </row>
    <row r="22" spans="1:9" x14ac:dyDescent="0.2">
      <c r="A22" s="32" t="s">
        <v>7</v>
      </c>
      <c r="B22" s="21">
        <f>ROUND((69+0)/('pRODUCTION - ZZPROD'!B20+'pRODUCTION - ZZPROD'!B21)*'pRODUCTION - ZZPROD'!B20,0)</f>
        <v>50</v>
      </c>
      <c r="C22" s="32" t="s">
        <v>32</v>
      </c>
    </row>
    <row r="23" spans="1:9" x14ac:dyDescent="0.2">
      <c r="A23" s="32" t="s">
        <v>84</v>
      </c>
      <c r="B23" s="21">
        <f>ROUND((69+0)/('pRODUCTION - ZZPROD'!B20+'pRODUCTION - ZZPROD'!B21)*'pRODUCTION - ZZPROD'!B21,0)</f>
        <v>19</v>
      </c>
      <c r="C23" s="32" t="s">
        <v>85</v>
      </c>
    </row>
    <row r="24" spans="1:9" x14ac:dyDescent="0.2">
      <c r="A24" s="32" t="s">
        <v>8</v>
      </c>
      <c r="B24" s="21">
        <f>1250+311</f>
        <v>1561</v>
      </c>
      <c r="C24" s="32" t="s">
        <v>34</v>
      </c>
      <c r="I24" s="32">
        <f>ROUND($B$33*23%,0)</f>
        <v>0</v>
      </c>
    </row>
    <row r="25" spans="1:9" x14ac:dyDescent="0.2">
      <c r="A25" s="32" t="s">
        <v>9</v>
      </c>
      <c r="B25" s="21">
        <f>2918+1289+941</f>
        <v>5148</v>
      </c>
      <c r="C25" s="32" t="s">
        <v>30</v>
      </c>
      <c r="I25" s="32">
        <f>ROUND($B$33*34%,0)</f>
        <v>0</v>
      </c>
    </row>
    <row r="27" spans="1:9" x14ac:dyDescent="0.2">
      <c r="A27" s="32" t="s">
        <v>11</v>
      </c>
      <c r="B27" s="45">
        <f>SUM(B17:B26)</f>
        <v>11608</v>
      </c>
      <c r="I27" s="3">
        <f>SUM(I17:I26)</f>
        <v>0</v>
      </c>
    </row>
    <row r="28" spans="1:9" x14ac:dyDescent="0.2">
      <c r="A28" s="32" t="s">
        <v>52</v>
      </c>
      <c r="B28" s="31">
        <v>9569</v>
      </c>
      <c r="I28" s="32">
        <f>I27-B33</f>
        <v>0</v>
      </c>
    </row>
    <row r="29" spans="1:9" x14ac:dyDescent="0.2">
      <c r="A29" s="32" t="s">
        <v>53</v>
      </c>
      <c r="B29" s="31">
        <v>2039</v>
      </c>
    </row>
    <row r="30" spans="1:9" x14ac:dyDescent="0.2">
      <c r="A30" s="32" t="s">
        <v>72</v>
      </c>
      <c r="B30" s="31">
        <f>H12</f>
        <v>0</v>
      </c>
    </row>
    <row r="31" spans="1:9" x14ac:dyDescent="0.2">
      <c r="B31" s="45">
        <f>SUM(B28:B30)</f>
        <v>11608</v>
      </c>
    </row>
    <row r="32" spans="1:9" x14ac:dyDescent="0.2">
      <c r="F32" s="35"/>
    </row>
    <row r="33" spans="1:10" x14ac:dyDescent="0.2">
      <c r="A33" s="32" t="s">
        <v>10</v>
      </c>
      <c r="B33" s="31">
        <v>0</v>
      </c>
      <c r="C33" s="32" t="s">
        <v>28</v>
      </c>
    </row>
    <row r="34" spans="1:10" x14ac:dyDescent="0.2">
      <c r="B34" s="36"/>
      <c r="F34" s="29"/>
    </row>
    <row r="35" spans="1:10" x14ac:dyDescent="0.2">
      <c r="B35" s="36"/>
    </row>
    <row r="36" spans="1:10" s="47" customFormat="1" ht="17.25" customHeight="1" x14ac:dyDescent="0.25">
      <c r="B36" s="53">
        <v>400127428</v>
      </c>
      <c r="C36" s="48" t="s">
        <v>71</v>
      </c>
    </row>
    <row r="37" spans="1:10" x14ac:dyDescent="0.2">
      <c r="B37" s="36"/>
      <c r="F37" s="37"/>
    </row>
    <row r="38" spans="1:10" x14ac:dyDescent="0.2">
      <c r="B38" s="36"/>
      <c r="F38" s="37"/>
    </row>
    <row r="39" spans="1:10" x14ac:dyDescent="0.2">
      <c r="B39" s="38"/>
      <c r="D39" s="3" t="s">
        <v>112</v>
      </c>
      <c r="E39" s="3"/>
      <c r="F39" s="30"/>
      <c r="G39" s="3"/>
      <c r="H39" s="3"/>
      <c r="I39" s="3"/>
      <c r="J39" s="3"/>
    </row>
    <row r="40" spans="1:10" x14ac:dyDescent="0.2">
      <c r="B40" s="36"/>
      <c r="F40" s="37"/>
    </row>
    <row r="41" spans="1:10" x14ac:dyDescent="0.2">
      <c r="B41" s="36">
        <v>3489</v>
      </c>
      <c r="C41" s="32" t="str">
        <f>C17</f>
        <v>G032788200</v>
      </c>
      <c r="D41" s="32" t="s">
        <v>113</v>
      </c>
      <c r="H41" s="44">
        <f>B17</f>
        <v>3648</v>
      </c>
      <c r="I41" s="32" t="str">
        <f>A17</f>
        <v>PES Plant</v>
      </c>
    </row>
    <row r="42" spans="1:10" x14ac:dyDescent="0.2">
      <c r="B42" s="36">
        <v>0</v>
      </c>
      <c r="C42" s="32" t="str">
        <f>C18</f>
        <v>G032788220</v>
      </c>
      <c r="D42" s="32" t="s">
        <v>114</v>
      </c>
      <c r="H42" s="44">
        <f>B18</f>
        <v>0</v>
      </c>
      <c r="I42" s="32" t="s">
        <v>76</v>
      </c>
    </row>
    <row r="43" spans="1:10" x14ac:dyDescent="0.2">
      <c r="B43" s="39">
        <v>1580</v>
      </c>
      <c r="C43" s="32" t="str">
        <f>C24</f>
        <v>G032788410</v>
      </c>
      <c r="D43" s="32" t="s">
        <v>115</v>
      </c>
      <c r="H43" s="44">
        <f>B24</f>
        <v>1561</v>
      </c>
      <c r="I43" s="32" t="str">
        <f>A24</f>
        <v>DCDPS</v>
      </c>
    </row>
    <row r="44" spans="1:10" x14ac:dyDescent="0.2">
      <c r="B44" s="39">
        <v>75</v>
      </c>
      <c r="C44" s="32" t="str">
        <f>C21</f>
        <v>G032788400</v>
      </c>
      <c r="D44" s="32" t="s">
        <v>116</v>
      </c>
      <c r="H44" s="44">
        <f>B21</f>
        <v>1182</v>
      </c>
      <c r="I44" s="32" t="str">
        <f>A21</f>
        <v xml:space="preserve">DHDPS </v>
      </c>
    </row>
    <row r="45" spans="1:10" x14ac:dyDescent="0.2">
      <c r="B45" s="39">
        <v>41</v>
      </c>
      <c r="C45" s="32" t="str">
        <f>C22</f>
        <v>G032788210</v>
      </c>
      <c r="D45" s="32" t="s">
        <v>117</v>
      </c>
      <c r="H45" s="44">
        <f>B22</f>
        <v>50</v>
      </c>
      <c r="I45" s="32" t="str">
        <f>A22</f>
        <v>PES Water Treatment</v>
      </c>
    </row>
    <row r="46" spans="1:10" x14ac:dyDescent="0.2">
      <c r="B46" s="39">
        <v>4</v>
      </c>
      <c r="C46" s="32" t="str">
        <f>C23</f>
        <v>G032788225</v>
      </c>
      <c r="D46" s="32" t="s">
        <v>118</v>
      </c>
      <c r="H46" s="44">
        <f>B23</f>
        <v>19</v>
      </c>
      <c r="I46" s="32" t="str">
        <f>A23</f>
        <v>RPES Water Treatment</v>
      </c>
    </row>
    <row r="47" spans="1:10" x14ac:dyDescent="0.2">
      <c r="B47" s="39">
        <v>4809</v>
      </c>
      <c r="C47" s="32" t="str">
        <f>C25</f>
        <v>G032787210</v>
      </c>
      <c r="D47" s="32" t="s">
        <v>119</v>
      </c>
      <c r="H47" s="44">
        <f>B25</f>
        <v>5148</v>
      </c>
      <c r="I47" s="32" t="str">
        <f>A25</f>
        <v xml:space="preserve">n-PEEK </v>
      </c>
    </row>
    <row r="48" spans="1:10" x14ac:dyDescent="0.2">
      <c r="C48" s="32" t="s">
        <v>58</v>
      </c>
      <c r="H48" s="44">
        <f>B19</f>
        <v>0</v>
      </c>
    </row>
    <row r="54" spans="2:2" x14ac:dyDescent="0.2">
      <c r="B54" s="39"/>
    </row>
    <row r="59" spans="2:2" x14ac:dyDescent="0.2">
      <c r="B59" s="39"/>
    </row>
    <row r="65" spans="3:4" x14ac:dyDescent="0.2">
      <c r="C65" s="32">
        <v>42525</v>
      </c>
      <c r="D65" s="37">
        <f>D67/C67*C65</f>
        <v>312.61374333228741</v>
      </c>
    </row>
    <row r="66" spans="3:4" x14ac:dyDescent="0.2">
      <c r="C66" s="32">
        <v>2093</v>
      </c>
      <c r="D66" s="37">
        <f>D67/C67*C66</f>
        <v>15.386256667712582</v>
      </c>
    </row>
    <row r="67" spans="3:4" x14ac:dyDescent="0.2">
      <c r="C67" s="32">
        <f>SUM(C65:C66)</f>
        <v>44618</v>
      </c>
      <c r="D67" s="37">
        <v>328</v>
      </c>
    </row>
  </sheetData>
  <phoneticPr fontId="2" type="noConversion"/>
  <printOptions horizontalCentered="1" verticalCentered="1" gridLines="1"/>
  <pageMargins left="0.75" right="0.75" top="1" bottom="1" header="0.5" footer="0.5"/>
  <pageSetup paperSize="9" orientation="landscape" r:id="rId1"/>
  <headerFooter alignWithMargins="0">
    <oddFooter>&amp;L&amp;Z&amp;F  SHEET &amp;A&amp;D   &amp;T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92D050"/>
    <pageSetUpPr fitToPage="1"/>
  </sheetPr>
  <dimension ref="A2:F67"/>
  <sheetViews>
    <sheetView workbookViewId="0">
      <selection activeCell="B28" sqref="B28"/>
    </sheetView>
  </sheetViews>
  <sheetFormatPr defaultRowHeight="12.75" x14ac:dyDescent="0.2"/>
  <cols>
    <col min="1" max="1" width="48.7109375" customWidth="1"/>
    <col min="2" max="2" width="14.5703125" bestFit="1" customWidth="1"/>
    <col min="3" max="3" width="15.5703125" customWidth="1"/>
    <col min="4" max="4" width="33" bestFit="1" customWidth="1"/>
    <col min="6" max="6" width="11.7109375" bestFit="1" customWidth="1"/>
  </cols>
  <sheetData>
    <row r="2" spans="1:4" x14ac:dyDescent="0.2">
      <c r="A2" s="52" t="s">
        <v>129</v>
      </c>
    </row>
    <row r="3" spans="1:4" x14ac:dyDescent="0.2">
      <c r="A3" s="46" t="str">
        <f>'Electricity - G0KWH0'!A3</f>
        <v>SKF's Data for JUL-14</v>
      </c>
    </row>
    <row r="5" spans="1:4" hidden="1" x14ac:dyDescent="0.2">
      <c r="A5" t="s">
        <v>21</v>
      </c>
      <c r="B5" s="1">
        <v>293851</v>
      </c>
      <c r="D5" s="1"/>
    </row>
    <row r="6" spans="1:4" hidden="1" x14ac:dyDescent="0.2">
      <c r="A6" t="s">
        <v>41</v>
      </c>
      <c r="B6" s="1"/>
      <c r="D6" s="1"/>
    </row>
    <row r="7" spans="1:4" hidden="1" x14ac:dyDescent="0.2">
      <c r="B7" s="2">
        <f>SUM(B5:B6)</f>
        <v>293851</v>
      </c>
    </row>
    <row r="8" spans="1:4" hidden="1" x14ac:dyDescent="0.2">
      <c r="A8" t="s">
        <v>22</v>
      </c>
      <c r="B8" s="1">
        <v>8361</v>
      </c>
      <c r="C8" t="s">
        <v>24</v>
      </c>
    </row>
    <row r="9" spans="1:4" hidden="1" x14ac:dyDescent="0.2">
      <c r="B9" s="1"/>
    </row>
    <row r="10" spans="1:4" hidden="1" x14ac:dyDescent="0.2">
      <c r="A10" t="s">
        <v>23</v>
      </c>
      <c r="B10" s="1">
        <f>B7/B8</f>
        <v>35.145437148666424</v>
      </c>
      <c r="C10" t="s">
        <v>25</v>
      </c>
    </row>
    <row r="11" spans="1:4" hidden="1" x14ac:dyDescent="0.2">
      <c r="B11" s="1"/>
    </row>
    <row r="12" spans="1:4" x14ac:dyDescent="0.2">
      <c r="B12" s="1"/>
      <c r="D12" s="48" t="s">
        <v>66</v>
      </c>
    </row>
    <row r="13" spans="1:4" x14ac:dyDescent="0.2">
      <c r="A13" s="48" t="s">
        <v>26</v>
      </c>
      <c r="B13" s="48" t="s">
        <v>5</v>
      </c>
      <c r="C13" s="48" t="s">
        <v>13</v>
      </c>
      <c r="D13" s="48" t="s">
        <v>67</v>
      </c>
    </row>
    <row r="14" spans="1:4" x14ac:dyDescent="0.2">
      <c r="A14" t="s">
        <v>4</v>
      </c>
      <c r="B14" s="22">
        <f>ROUND((511000+D14)/'pRODUCTION - ZZPROD'!H16*'pRODUCTION - ZZPROD'!H14,0)</f>
        <v>3505900</v>
      </c>
      <c r="C14" t="s">
        <v>31</v>
      </c>
      <c r="D14" s="34">
        <f>ROUND($B$26*30%,0)</f>
        <v>2994900</v>
      </c>
    </row>
    <row r="15" spans="1:4" x14ac:dyDescent="0.2">
      <c r="A15" t="s">
        <v>76</v>
      </c>
      <c r="B15" s="22"/>
      <c r="C15" t="s">
        <v>78</v>
      </c>
      <c r="D15" s="34"/>
    </row>
    <row r="16" spans="1:4" x14ac:dyDescent="0.2">
      <c r="A16" t="s">
        <v>12</v>
      </c>
      <c r="B16" s="22"/>
      <c r="C16" t="s">
        <v>58</v>
      </c>
      <c r="D16" s="34"/>
    </row>
    <row r="17" spans="1:6" x14ac:dyDescent="0.2">
      <c r="A17" t="s">
        <v>6</v>
      </c>
      <c r="B17" s="22"/>
      <c r="C17" t="s">
        <v>29</v>
      </c>
      <c r="D17" s="34"/>
    </row>
    <row r="18" spans="1:6" x14ac:dyDescent="0.2">
      <c r="A18" t="s">
        <v>27</v>
      </c>
      <c r="B18" s="22">
        <f>410000+D18</f>
        <v>1707790</v>
      </c>
      <c r="C18" t="s">
        <v>33</v>
      </c>
      <c r="D18" s="34">
        <f>ROUND($B$26*13%,0)</f>
        <v>1297790</v>
      </c>
    </row>
    <row r="19" spans="1:6" x14ac:dyDescent="0.2">
      <c r="A19" t="s">
        <v>7</v>
      </c>
      <c r="B19" s="22"/>
      <c r="C19" t="s">
        <v>32</v>
      </c>
      <c r="D19" s="34"/>
    </row>
    <row r="20" spans="1:6" x14ac:dyDescent="0.2">
      <c r="A20" t="s">
        <v>8</v>
      </c>
      <c r="B20" s="22">
        <f>552000+D20</f>
        <v>2848090</v>
      </c>
      <c r="C20" t="s">
        <v>34</v>
      </c>
      <c r="D20" s="34">
        <f>ROUND($B$26*23%,0)</f>
        <v>2296090</v>
      </c>
    </row>
    <row r="21" spans="1:6" x14ac:dyDescent="0.2">
      <c r="A21" t="s">
        <v>9</v>
      </c>
      <c r="B21" s="22">
        <f>4125000+D21</f>
        <v>7519220</v>
      </c>
      <c r="C21" t="s">
        <v>30</v>
      </c>
      <c r="D21" s="34">
        <f>ROUND($B$26*34%,0)</f>
        <v>3394220</v>
      </c>
    </row>
    <row r="23" spans="1:6" x14ac:dyDescent="0.2">
      <c r="A23" t="s">
        <v>11</v>
      </c>
      <c r="B23" s="22">
        <f>SUM(B14:B22)</f>
        <v>15581000</v>
      </c>
      <c r="D23" s="49">
        <f>SUM(D14:D22)</f>
        <v>9983000</v>
      </c>
    </row>
    <row r="24" spans="1:6" x14ac:dyDescent="0.2">
      <c r="B24">
        <v>14206000</v>
      </c>
    </row>
    <row r="26" spans="1:6" x14ac:dyDescent="0.2">
      <c r="A26" t="s">
        <v>10</v>
      </c>
      <c r="B26" s="42">
        <f>(3962+6021)*1000</f>
        <v>9983000</v>
      </c>
      <c r="C26" t="s">
        <v>28</v>
      </c>
      <c r="D26" s="5"/>
    </row>
    <row r="27" spans="1:6" x14ac:dyDescent="0.2">
      <c r="B27" s="5"/>
    </row>
    <row r="28" spans="1:6" s="47" customFormat="1" ht="17.25" customHeight="1" x14ac:dyDescent="0.25">
      <c r="B28" s="53">
        <v>400127429</v>
      </c>
      <c r="C28" s="48" t="s">
        <v>71</v>
      </c>
    </row>
    <row r="29" spans="1:6" x14ac:dyDescent="0.2">
      <c r="B29" s="5"/>
    </row>
    <row r="30" spans="1:6" ht="17.25" x14ac:dyDescent="0.25">
      <c r="B30" s="28"/>
      <c r="D30" s="3" t="s">
        <v>120</v>
      </c>
    </row>
    <row r="32" spans="1:6" x14ac:dyDescent="0.2">
      <c r="B32" s="5"/>
      <c r="C32" t="str">
        <f>C14</f>
        <v>G032788200</v>
      </c>
      <c r="D32" t="s">
        <v>121</v>
      </c>
      <c r="E32" t="s">
        <v>90</v>
      </c>
      <c r="F32" s="27">
        <f>B14</f>
        <v>3505900</v>
      </c>
    </row>
    <row r="33" spans="2:6" x14ac:dyDescent="0.2">
      <c r="B33" s="5"/>
      <c r="C33" t="str">
        <f>C15</f>
        <v>G032788220</v>
      </c>
      <c r="D33" t="s">
        <v>122</v>
      </c>
      <c r="E33" t="s">
        <v>90</v>
      </c>
      <c r="F33" s="27">
        <f>B15</f>
        <v>0</v>
      </c>
    </row>
    <row r="34" spans="2:6" x14ac:dyDescent="0.2">
      <c r="B34" s="5"/>
      <c r="C34" t="str">
        <f>C18</f>
        <v>G032788400</v>
      </c>
      <c r="D34" t="s">
        <v>123</v>
      </c>
      <c r="E34" t="s">
        <v>90</v>
      </c>
      <c r="F34" s="27">
        <f>B18</f>
        <v>1707790</v>
      </c>
    </row>
    <row r="35" spans="2:6" x14ac:dyDescent="0.2">
      <c r="B35" s="9"/>
      <c r="C35" t="str">
        <f>C20</f>
        <v>G032788410</v>
      </c>
      <c r="D35" t="s">
        <v>124</v>
      </c>
      <c r="E35" t="s">
        <v>90</v>
      </c>
      <c r="F35" s="27">
        <f>B20</f>
        <v>2848090</v>
      </c>
    </row>
    <row r="36" spans="2:6" x14ac:dyDescent="0.2">
      <c r="B36" s="9"/>
      <c r="C36" t="str">
        <f>C21</f>
        <v>G032787210</v>
      </c>
      <c r="D36" t="s">
        <v>125</v>
      </c>
      <c r="E36" t="s">
        <v>90</v>
      </c>
      <c r="F36" s="27">
        <f>B21</f>
        <v>7519220</v>
      </c>
    </row>
    <row r="37" spans="2:6" x14ac:dyDescent="0.2">
      <c r="B37" s="9"/>
    </row>
    <row r="38" spans="2:6" x14ac:dyDescent="0.2">
      <c r="B38" s="25"/>
    </row>
    <row r="39" spans="2:6" x14ac:dyDescent="0.2">
      <c r="B39" s="9"/>
    </row>
    <row r="40" spans="2:6" ht="17.25" x14ac:dyDescent="0.25">
      <c r="B40" s="24"/>
    </row>
    <row r="41" spans="2:6" x14ac:dyDescent="0.2">
      <c r="B41" s="9"/>
    </row>
    <row r="42" spans="2:6" x14ac:dyDescent="0.2">
      <c r="B42" s="9"/>
    </row>
    <row r="55" spans="2:3" x14ac:dyDescent="0.2">
      <c r="C55" s="5"/>
    </row>
    <row r="56" spans="2:3" x14ac:dyDescent="0.2">
      <c r="C56" s="5"/>
    </row>
    <row r="57" spans="2:3" x14ac:dyDescent="0.2">
      <c r="B57" s="3"/>
      <c r="C57" s="6"/>
    </row>
    <row r="58" spans="2:3" x14ac:dyDescent="0.2">
      <c r="C58" s="5"/>
    </row>
    <row r="59" spans="2:3" x14ac:dyDescent="0.2">
      <c r="C59" s="5"/>
    </row>
    <row r="60" spans="2:3" x14ac:dyDescent="0.2">
      <c r="C60" s="5"/>
    </row>
    <row r="61" spans="2:3" x14ac:dyDescent="0.2">
      <c r="C61" s="5"/>
    </row>
    <row r="62" spans="2:3" x14ac:dyDescent="0.2">
      <c r="C62" s="5"/>
    </row>
    <row r="63" spans="2:3" x14ac:dyDescent="0.2">
      <c r="C63" s="5"/>
    </row>
    <row r="64" spans="2:3" x14ac:dyDescent="0.2">
      <c r="C64" s="5"/>
    </row>
    <row r="65" spans="2:3" x14ac:dyDescent="0.2">
      <c r="B65" s="3"/>
      <c r="C65" s="6"/>
    </row>
    <row r="66" spans="2:3" x14ac:dyDescent="0.2">
      <c r="C66" s="5"/>
    </row>
    <row r="67" spans="2:3" x14ac:dyDescent="0.2">
      <c r="C67" s="5"/>
    </row>
  </sheetData>
  <phoneticPr fontId="2" type="noConversion"/>
  <printOptions gridLines="1"/>
  <pageMargins left="0.75" right="0.75" top="1" bottom="1" header="0.5" footer="0.5"/>
  <pageSetup paperSize="9" orientation="landscape" r:id="rId1"/>
  <headerFooter alignWithMargins="0">
    <oddFooter>&amp;L&amp;Z&amp;F  SHEET &amp;A&amp;R&amp;D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92D050"/>
  </sheetPr>
  <dimension ref="A2:I68"/>
  <sheetViews>
    <sheetView workbookViewId="0">
      <selection activeCell="B29" sqref="B29"/>
    </sheetView>
  </sheetViews>
  <sheetFormatPr defaultRowHeight="12.75" x14ac:dyDescent="0.2"/>
  <cols>
    <col min="1" max="1" width="48.7109375" customWidth="1"/>
    <col min="2" max="2" width="14.5703125" style="13" bestFit="1" customWidth="1"/>
    <col min="3" max="3" width="19" customWidth="1"/>
    <col min="4" max="4" width="12.85546875" bestFit="1" customWidth="1"/>
    <col min="8" max="8" width="11.28515625" bestFit="1" customWidth="1"/>
  </cols>
  <sheetData>
    <row r="2" spans="1:8" x14ac:dyDescent="0.2">
      <c r="A2" s="52" t="s">
        <v>130</v>
      </c>
    </row>
    <row r="3" spans="1:8" x14ac:dyDescent="0.2">
      <c r="A3" s="46" t="str">
        <f>'Electricity - G0KWH0'!A3</f>
        <v>SKF's Data for JUL-14</v>
      </c>
      <c r="E3" t="s">
        <v>75</v>
      </c>
    </row>
    <row r="4" spans="1:8" x14ac:dyDescent="0.2">
      <c r="H4" t="s">
        <v>77</v>
      </c>
    </row>
    <row r="5" spans="1:8" hidden="1" x14ac:dyDescent="0.2">
      <c r="A5" t="s">
        <v>21</v>
      </c>
      <c r="B5" s="16">
        <v>293851</v>
      </c>
      <c r="D5" s="1"/>
    </row>
    <row r="6" spans="1:8" hidden="1" x14ac:dyDescent="0.2">
      <c r="A6" t="s">
        <v>41</v>
      </c>
      <c r="B6" s="16"/>
      <c r="D6" s="1"/>
    </row>
    <row r="7" spans="1:8" hidden="1" x14ac:dyDescent="0.2">
      <c r="B7" s="20">
        <f>SUM(B5:B6)</f>
        <v>293851</v>
      </c>
    </row>
    <row r="8" spans="1:8" hidden="1" x14ac:dyDescent="0.2">
      <c r="A8" t="s">
        <v>22</v>
      </c>
      <c r="B8" s="16">
        <v>8361</v>
      </c>
      <c r="C8" t="s">
        <v>24</v>
      </c>
    </row>
    <row r="9" spans="1:8" hidden="1" x14ac:dyDescent="0.2">
      <c r="B9" s="16"/>
    </row>
    <row r="10" spans="1:8" hidden="1" x14ac:dyDescent="0.2">
      <c r="A10" t="s">
        <v>23</v>
      </c>
      <c r="B10" s="16">
        <f>B7/B8</f>
        <v>35.145437148666424</v>
      </c>
      <c r="C10" t="s">
        <v>25</v>
      </c>
    </row>
    <row r="11" spans="1:8" hidden="1" x14ac:dyDescent="0.2">
      <c r="B11" s="16"/>
    </row>
    <row r="12" spans="1:8" x14ac:dyDescent="0.2">
      <c r="B12" s="16"/>
    </row>
    <row r="13" spans="1:8" s="48" customFormat="1" x14ac:dyDescent="0.2">
      <c r="A13" s="48" t="s">
        <v>56</v>
      </c>
      <c r="B13" s="48" t="s">
        <v>5</v>
      </c>
      <c r="C13" s="48" t="s">
        <v>13</v>
      </c>
    </row>
    <row r="14" spans="1:8" x14ac:dyDescent="0.2">
      <c r="A14" t="s">
        <v>4</v>
      </c>
      <c r="B14" s="50">
        <v>155000</v>
      </c>
      <c r="C14" t="s">
        <v>31</v>
      </c>
      <c r="H14" s="1">
        <f>B14*1</f>
        <v>155000</v>
      </c>
    </row>
    <row r="15" spans="1:8" x14ac:dyDescent="0.2">
      <c r="A15" t="s">
        <v>76</v>
      </c>
      <c r="B15" s="51"/>
      <c r="C15" t="s">
        <v>78</v>
      </c>
      <c r="H15" s="1">
        <f>B15*2</f>
        <v>0</v>
      </c>
    </row>
    <row r="16" spans="1:8" x14ac:dyDescent="0.2">
      <c r="A16" t="s">
        <v>12</v>
      </c>
      <c r="H16" s="1">
        <f>SUM(H14:H15)</f>
        <v>155000</v>
      </c>
    </row>
    <row r="17" spans="1:5" x14ac:dyDescent="0.2">
      <c r="A17" t="s">
        <v>6</v>
      </c>
      <c r="B17" s="50">
        <v>70980</v>
      </c>
      <c r="C17" t="s">
        <v>29</v>
      </c>
    </row>
    <row r="18" spans="1:5" x14ac:dyDescent="0.2">
      <c r="A18" t="s">
        <v>59</v>
      </c>
      <c r="B18" s="50">
        <v>30000</v>
      </c>
      <c r="C18" t="s">
        <v>60</v>
      </c>
    </row>
    <row r="19" spans="1:5" x14ac:dyDescent="0.2">
      <c r="A19" t="s">
        <v>27</v>
      </c>
      <c r="B19" s="50">
        <v>101200</v>
      </c>
      <c r="C19" t="s">
        <v>33</v>
      </c>
    </row>
    <row r="20" spans="1:5" x14ac:dyDescent="0.2">
      <c r="A20" t="s">
        <v>7</v>
      </c>
      <c r="B20" s="50">
        <v>27760</v>
      </c>
      <c r="C20" t="s">
        <v>32</v>
      </c>
      <c r="D20">
        <v>19740</v>
      </c>
      <c r="E20">
        <f>B20-D20</f>
        <v>8020</v>
      </c>
    </row>
    <row r="21" spans="1:5" x14ac:dyDescent="0.2">
      <c r="A21" t="s">
        <v>84</v>
      </c>
      <c r="B21" s="50">
        <v>10480</v>
      </c>
      <c r="C21" t="s">
        <v>85</v>
      </c>
    </row>
    <row r="22" spans="1:5" x14ac:dyDescent="0.2">
      <c r="A22" t="s">
        <v>8</v>
      </c>
      <c r="B22" s="50">
        <v>232500</v>
      </c>
      <c r="C22" t="s">
        <v>34</v>
      </c>
      <c r="D22" s="5"/>
    </row>
    <row r="23" spans="1:5" x14ac:dyDescent="0.2">
      <c r="A23" t="s">
        <v>9</v>
      </c>
      <c r="B23" s="50">
        <v>72100</v>
      </c>
      <c r="C23" t="s">
        <v>30</v>
      </c>
      <c r="D23" s="5"/>
    </row>
    <row r="24" spans="1:5" x14ac:dyDescent="0.2">
      <c r="A24" t="s">
        <v>10</v>
      </c>
      <c r="C24" t="s">
        <v>28</v>
      </c>
      <c r="D24" s="5"/>
    </row>
    <row r="25" spans="1:5" x14ac:dyDescent="0.2">
      <c r="A25" t="s">
        <v>11</v>
      </c>
      <c r="B25" s="42">
        <f>SUM(B14:B24)</f>
        <v>700020</v>
      </c>
      <c r="D25" s="5"/>
    </row>
    <row r="29" spans="1:5" s="47" customFormat="1" ht="17.25" x14ac:dyDescent="0.25">
      <c r="B29" s="53">
        <v>400127430</v>
      </c>
      <c r="C29" s="48" t="s">
        <v>71</v>
      </c>
    </row>
    <row r="30" spans="1:5" x14ac:dyDescent="0.2">
      <c r="B30" s="19"/>
    </row>
    <row r="31" spans="1:5" x14ac:dyDescent="0.2">
      <c r="B31" s="19"/>
      <c r="D31" s="3" t="s">
        <v>91</v>
      </c>
    </row>
    <row r="32" spans="1:5" x14ac:dyDescent="0.2">
      <c r="B32" s="19"/>
    </row>
    <row r="33" spans="2:9" x14ac:dyDescent="0.2">
      <c r="B33" s="45"/>
      <c r="C33" t="str">
        <f>C22</f>
        <v>G032788410</v>
      </c>
      <c r="D33" t="s">
        <v>92</v>
      </c>
      <c r="H33" s="45">
        <f>B22</f>
        <v>232500</v>
      </c>
      <c r="I33" t="s">
        <v>89</v>
      </c>
    </row>
    <row r="34" spans="2:9" x14ac:dyDescent="0.2">
      <c r="B34" s="45"/>
      <c r="C34" t="str">
        <f>C17</f>
        <v>G032000010</v>
      </c>
      <c r="D34" t="s">
        <v>93</v>
      </c>
      <c r="H34" s="40">
        <f>B17</f>
        <v>70980</v>
      </c>
      <c r="I34" t="s">
        <v>89</v>
      </c>
    </row>
    <row r="35" spans="2:9" x14ac:dyDescent="0.2">
      <c r="B35" s="45"/>
      <c r="C35" t="str">
        <f>C20</f>
        <v>G032788210</v>
      </c>
      <c r="D35" t="s">
        <v>94</v>
      </c>
      <c r="H35" s="40">
        <f>B20</f>
        <v>27760</v>
      </c>
      <c r="I35" t="s">
        <v>89</v>
      </c>
    </row>
    <row r="36" spans="2:9" x14ac:dyDescent="0.2">
      <c r="B36" s="40"/>
      <c r="C36" s="26" t="s">
        <v>85</v>
      </c>
      <c r="D36" t="s">
        <v>95</v>
      </c>
      <c r="H36" s="40">
        <f>B21</f>
        <v>10480</v>
      </c>
      <c r="I36" t="s">
        <v>89</v>
      </c>
    </row>
    <row r="37" spans="2:9" x14ac:dyDescent="0.2">
      <c r="B37" s="45"/>
      <c r="C37" t="str">
        <f>C14</f>
        <v>G032788200</v>
      </c>
      <c r="D37" t="s">
        <v>96</v>
      </c>
      <c r="H37" s="40">
        <f>B14</f>
        <v>155000</v>
      </c>
      <c r="I37" t="s">
        <v>89</v>
      </c>
    </row>
    <row r="38" spans="2:9" x14ac:dyDescent="0.2">
      <c r="B38" s="40"/>
      <c r="C38" t="str">
        <f>C15</f>
        <v>G032788220</v>
      </c>
      <c r="D38" t="s">
        <v>97</v>
      </c>
      <c r="H38" s="40">
        <f>B15</f>
        <v>0</v>
      </c>
      <c r="I38" t="s">
        <v>89</v>
      </c>
    </row>
    <row r="39" spans="2:9" x14ac:dyDescent="0.2">
      <c r="B39" s="45"/>
      <c r="C39" t="str">
        <f>C18</f>
        <v>G032000015</v>
      </c>
      <c r="D39" t="s">
        <v>98</v>
      </c>
      <c r="H39" s="40">
        <f>B18</f>
        <v>30000</v>
      </c>
      <c r="I39" t="s">
        <v>89</v>
      </c>
    </row>
    <row r="40" spans="2:9" x14ac:dyDescent="0.2">
      <c r="B40" s="45"/>
      <c r="C40" t="str">
        <f>C23</f>
        <v>G032787210</v>
      </c>
      <c r="D40" t="s">
        <v>99</v>
      </c>
      <c r="H40" s="40">
        <f>B23</f>
        <v>72100</v>
      </c>
      <c r="I40" t="s">
        <v>89</v>
      </c>
    </row>
    <row r="41" spans="2:9" x14ac:dyDescent="0.2">
      <c r="B41" s="45"/>
      <c r="C41" t="str">
        <f>C19</f>
        <v>G032788400</v>
      </c>
      <c r="D41" t="s">
        <v>100</v>
      </c>
      <c r="H41" s="40">
        <f>B19</f>
        <v>101200</v>
      </c>
      <c r="I41" t="s">
        <v>89</v>
      </c>
    </row>
    <row r="42" spans="2:9" x14ac:dyDescent="0.2">
      <c r="B42" s="18"/>
    </row>
    <row r="43" spans="2:9" x14ac:dyDescent="0.2">
      <c r="B43" s="18">
        <f>SUM(B33:B42)</f>
        <v>0</v>
      </c>
    </row>
    <row r="44" spans="2:9" x14ac:dyDescent="0.2">
      <c r="B44" s="17" t="b">
        <f>B25=B43</f>
        <v>0</v>
      </c>
    </row>
    <row r="56" spans="2:3" x14ac:dyDescent="0.2">
      <c r="C56" s="5"/>
    </row>
    <row r="57" spans="2:3" x14ac:dyDescent="0.2">
      <c r="C57" s="5"/>
    </row>
    <row r="58" spans="2:3" x14ac:dyDescent="0.2">
      <c r="B58" s="17"/>
      <c r="C58" s="6"/>
    </row>
    <row r="59" spans="2:3" x14ac:dyDescent="0.2">
      <c r="C59" s="5"/>
    </row>
    <row r="60" spans="2:3" x14ac:dyDescent="0.2">
      <c r="C60" s="5"/>
    </row>
    <row r="61" spans="2:3" x14ac:dyDescent="0.2">
      <c r="C61" s="5"/>
    </row>
    <row r="62" spans="2:3" x14ac:dyDescent="0.2">
      <c r="C62" s="5"/>
    </row>
    <row r="63" spans="2:3" x14ac:dyDescent="0.2">
      <c r="C63" s="5"/>
    </row>
    <row r="64" spans="2:3" x14ac:dyDescent="0.2">
      <c r="C64" s="5"/>
    </row>
    <row r="65" spans="2:3" x14ac:dyDescent="0.2">
      <c r="C65" s="5"/>
    </row>
    <row r="66" spans="2:3" x14ac:dyDescent="0.2">
      <c r="B66" s="17"/>
      <c r="C66" s="6"/>
    </row>
    <row r="67" spans="2:3" x14ac:dyDescent="0.2">
      <c r="C67" s="5"/>
    </row>
    <row r="68" spans="2:3" x14ac:dyDescent="0.2">
      <c r="C68" s="5"/>
    </row>
  </sheetData>
  <phoneticPr fontId="2" type="noConversion"/>
  <printOptions gridLines="1"/>
  <pageMargins left="0.75" right="0.75" top="1" bottom="1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D62"/>
  <sheetViews>
    <sheetView workbookViewId="0">
      <selection activeCell="A38" sqref="A38"/>
    </sheetView>
  </sheetViews>
  <sheetFormatPr defaultRowHeight="12.75" x14ac:dyDescent="0.2"/>
  <cols>
    <col min="1" max="1" width="48.7109375" customWidth="1"/>
    <col min="2" max="2" width="14.5703125" bestFit="1" customWidth="1"/>
    <col min="3" max="3" width="19" customWidth="1"/>
    <col min="4" max="4" width="12.85546875" bestFit="1" customWidth="1"/>
  </cols>
  <sheetData>
    <row r="2" spans="1:4" x14ac:dyDescent="0.2">
      <c r="A2" s="52" t="s">
        <v>131</v>
      </c>
    </row>
    <row r="3" spans="1:4" x14ac:dyDescent="0.2">
      <c r="A3" s="46" t="str">
        <f>'Electricity - G0KWH0'!A3</f>
        <v>SKF's Data for JUL-14</v>
      </c>
    </row>
    <row r="5" spans="1:4" hidden="1" x14ac:dyDescent="0.2">
      <c r="A5" t="s">
        <v>21</v>
      </c>
      <c r="B5" s="1">
        <v>293851</v>
      </c>
      <c r="D5" s="1"/>
    </row>
    <row r="6" spans="1:4" hidden="1" x14ac:dyDescent="0.2">
      <c r="A6" t="s">
        <v>41</v>
      </c>
      <c r="B6" s="1"/>
      <c r="D6" s="1"/>
    </row>
    <row r="7" spans="1:4" hidden="1" x14ac:dyDescent="0.2">
      <c r="B7" s="2">
        <f>SUM(B5:B6)</f>
        <v>293851</v>
      </c>
    </row>
    <row r="8" spans="1:4" hidden="1" x14ac:dyDescent="0.2">
      <c r="A8" t="s">
        <v>22</v>
      </c>
      <c r="B8" s="1">
        <v>8361</v>
      </c>
      <c r="C8" t="s">
        <v>24</v>
      </c>
    </row>
    <row r="9" spans="1:4" hidden="1" x14ac:dyDescent="0.2">
      <c r="B9" s="1"/>
    </row>
    <row r="10" spans="1:4" hidden="1" x14ac:dyDescent="0.2">
      <c r="A10" t="s">
        <v>23</v>
      </c>
      <c r="B10" s="1">
        <f>B7/B8</f>
        <v>35.145437148666424</v>
      </c>
      <c r="C10" t="s">
        <v>25</v>
      </c>
    </row>
    <row r="11" spans="1:4" hidden="1" x14ac:dyDescent="0.2">
      <c r="B11" s="1"/>
    </row>
    <row r="12" spans="1:4" x14ac:dyDescent="0.2">
      <c r="B12" s="1"/>
    </row>
    <row r="13" spans="1:4" x14ac:dyDescent="0.2">
      <c r="A13" s="48" t="s">
        <v>56</v>
      </c>
      <c r="B13" s="48" t="s">
        <v>5</v>
      </c>
      <c r="C13" s="48" t="s">
        <v>13</v>
      </c>
    </row>
    <row r="14" spans="1:4" x14ac:dyDescent="0.2">
      <c r="A14" t="s">
        <v>4</v>
      </c>
      <c r="B14" s="50">
        <v>140000</v>
      </c>
      <c r="C14" t="s">
        <v>31</v>
      </c>
      <c r="D14" s="32" t="s">
        <v>133</v>
      </c>
    </row>
    <row r="15" spans="1:4" x14ac:dyDescent="0.2">
      <c r="A15" t="s">
        <v>76</v>
      </c>
      <c r="B15" s="50">
        <v>0</v>
      </c>
      <c r="C15" t="s">
        <v>78</v>
      </c>
      <c r="D15" s="32" t="s">
        <v>133</v>
      </c>
    </row>
    <row r="16" spans="1:4" x14ac:dyDescent="0.2">
      <c r="A16" t="s">
        <v>27</v>
      </c>
      <c r="B16" s="50">
        <v>100000</v>
      </c>
      <c r="C16" t="s">
        <v>33</v>
      </c>
      <c r="D16" s="32" t="s">
        <v>133</v>
      </c>
    </row>
    <row r="17" spans="1:4" x14ac:dyDescent="0.2">
      <c r="A17" t="s">
        <v>8</v>
      </c>
      <c r="B17" s="50">
        <v>225000</v>
      </c>
      <c r="C17" t="s">
        <v>34</v>
      </c>
      <c r="D17" s="32" t="s">
        <v>133</v>
      </c>
    </row>
    <row r="18" spans="1:4" x14ac:dyDescent="0.2">
      <c r="A18" t="s">
        <v>9</v>
      </c>
      <c r="B18" s="50">
        <v>72000</v>
      </c>
      <c r="C18" t="s">
        <v>30</v>
      </c>
      <c r="D18" s="32" t="s">
        <v>133</v>
      </c>
    </row>
    <row r="19" spans="1:4" x14ac:dyDescent="0.2">
      <c r="A19" t="s">
        <v>10</v>
      </c>
      <c r="B19" s="4">
        <v>0</v>
      </c>
      <c r="C19" t="s">
        <v>28</v>
      </c>
      <c r="D19" s="32" t="s">
        <v>133</v>
      </c>
    </row>
    <row r="20" spans="1:4" x14ac:dyDescent="0.2">
      <c r="A20" t="s">
        <v>11</v>
      </c>
      <c r="B20" s="42">
        <f>SUM(B14:B19)</f>
        <v>537000</v>
      </c>
      <c r="D20" s="5"/>
    </row>
    <row r="21" spans="1:4" x14ac:dyDescent="0.2">
      <c r="A21" t="s">
        <v>57</v>
      </c>
    </row>
    <row r="25" spans="1:4" s="47" customFormat="1" ht="17.25" x14ac:dyDescent="0.25">
      <c r="B25" s="53">
        <v>400127433</v>
      </c>
      <c r="C25" s="48" t="s">
        <v>126</v>
      </c>
    </row>
    <row r="26" spans="1:4" x14ac:dyDescent="0.2">
      <c r="B26" s="5"/>
    </row>
    <row r="27" spans="1:4" x14ac:dyDescent="0.2">
      <c r="B27" s="5"/>
    </row>
    <row r="28" spans="1:4" x14ac:dyDescent="0.2">
      <c r="B28" s="5"/>
    </row>
    <row r="29" spans="1:4" x14ac:dyDescent="0.2">
      <c r="B29" s="5">
        <v>60000</v>
      </c>
      <c r="D29" s="26" t="s">
        <v>79</v>
      </c>
    </row>
    <row r="30" spans="1:4" x14ac:dyDescent="0.2">
      <c r="B30" s="5">
        <v>30000</v>
      </c>
      <c r="D30" s="26" t="s">
        <v>80</v>
      </c>
    </row>
    <row r="31" spans="1:4" x14ac:dyDescent="0.2">
      <c r="B31" s="5">
        <v>80000</v>
      </c>
      <c r="D31" t="s">
        <v>81</v>
      </c>
    </row>
    <row r="32" spans="1:4" x14ac:dyDescent="0.2">
      <c r="B32" s="5">
        <v>185000</v>
      </c>
      <c r="D32" t="s">
        <v>82</v>
      </c>
    </row>
    <row r="33" spans="2:4" x14ac:dyDescent="0.2">
      <c r="B33" s="9">
        <v>53000</v>
      </c>
      <c r="D33" t="s">
        <v>83</v>
      </c>
    </row>
    <row r="34" spans="2:4" x14ac:dyDescent="0.2">
      <c r="B34" s="9"/>
    </row>
    <row r="35" spans="2:4" x14ac:dyDescent="0.2">
      <c r="B35" s="9">
        <f>SUM(B29:B34)</f>
        <v>408000</v>
      </c>
    </row>
    <row r="36" spans="2:4" x14ac:dyDescent="0.2">
      <c r="B36" s="9"/>
    </row>
    <row r="37" spans="2:4" x14ac:dyDescent="0.2">
      <c r="B37" s="25" t="b">
        <f>B20=B35</f>
        <v>0</v>
      </c>
    </row>
    <row r="50" spans="2:3" x14ac:dyDescent="0.2">
      <c r="B50" t="s">
        <v>37</v>
      </c>
      <c r="C50" s="5">
        <v>290619</v>
      </c>
    </row>
    <row r="51" spans="2:3" x14ac:dyDescent="0.2">
      <c r="B51" t="s">
        <v>37</v>
      </c>
      <c r="C51" s="5">
        <v>296201</v>
      </c>
    </row>
    <row r="52" spans="2:3" x14ac:dyDescent="0.2">
      <c r="B52" s="3" t="s">
        <v>40</v>
      </c>
      <c r="C52" s="6">
        <f>SUM(C50:C51)</f>
        <v>586820</v>
      </c>
    </row>
    <row r="53" spans="2:3" x14ac:dyDescent="0.2">
      <c r="B53" t="s">
        <v>36</v>
      </c>
      <c r="C53" s="5">
        <v>-290619</v>
      </c>
    </row>
    <row r="54" spans="2:3" x14ac:dyDescent="0.2">
      <c r="B54" t="s">
        <v>36</v>
      </c>
      <c r="C54" s="5">
        <v>-296201</v>
      </c>
    </row>
    <row r="55" spans="2:3" x14ac:dyDescent="0.2">
      <c r="B55" t="s">
        <v>36</v>
      </c>
      <c r="C55" s="5">
        <v>286591</v>
      </c>
    </row>
    <row r="56" spans="2:3" x14ac:dyDescent="0.2">
      <c r="B56" t="s">
        <v>36</v>
      </c>
      <c r="C56" s="5">
        <v>-286591</v>
      </c>
    </row>
    <row r="57" spans="2:3" x14ac:dyDescent="0.2">
      <c r="B57" t="s">
        <v>36</v>
      </c>
      <c r="C57" s="5">
        <v>-286591</v>
      </c>
    </row>
    <row r="58" spans="2:3" x14ac:dyDescent="0.2">
      <c r="B58" t="s">
        <v>36</v>
      </c>
      <c r="C58" s="5">
        <v>286591</v>
      </c>
    </row>
    <row r="59" spans="2:3" x14ac:dyDescent="0.2">
      <c r="B59" t="s">
        <v>36</v>
      </c>
      <c r="C59" s="5">
        <v>286591</v>
      </c>
    </row>
    <row r="60" spans="2:3" x14ac:dyDescent="0.2">
      <c r="B60" s="3" t="s">
        <v>39</v>
      </c>
      <c r="C60" s="6">
        <f>SUM(C53:C59)</f>
        <v>-300229</v>
      </c>
    </row>
    <row r="61" spans="2:3" x14ac:dyDescent="0.2">
      <c r="B61" t="s">
        <v>38</v>
      </c>
      <c r="C61" s="5">
        <v>1000</v>
      </c>
    </row>
    <row r="62" spans="2:3" x14ac:dyDescent="0.2">
      <c r="B62" t="s">
        <v>38</v>
      </c>
      <c r="C62" s="5">
        <v>1000</v>
      </c>
    </row>
  </sheetData>
  <phoneticPr fontId="2" type="noConversion"/>
  <pageMargins left="0.75" right="0.75" top="1" bottom="1" header="0.5" footer="0.5"/>
  <pageSetup paperSize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Electricity - G0KWH0</vt:lpstr>
      <vt:lpstr>Steam - G0STEA</vt:lpstr>
      <vt:lpstr>Water - G0WATR</vt:lpstr>
      <vt:lpstr>pRODUCTION - ZZPROD</vt:lpstr>
      <vt:lpstr>Inst Capacity G0INCA</vt:lpstr>
      <vt:lpstr>'Electricity - G0KWH0'!Print_Area</vt:lpstr>
      <vt:lpstr>'Inst Capacity G0INCA'!Print_Area</vt:lpstr>
      <vt:lpstr>'pRODUCTION - ZZPROD'!Print_Area</vt:lpstr>
      <vt:lpstr>'Steam - G0STEA'!Print_Area</vt:lpstr>
      <vt:lpstr>'Water - G0WATR'!Print_Area</vt:lpstr>
    </vt:vector>
  </TitlesOfParts>
  <Company>solvay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IN00341</dc:creator>
  <cp:lastModifiedBy>Nainapalerd, Apichaya</cp:lastModifiedBy>
  <cp:lastPrinted>2012-07-05T07:21:46Z</cp:lastPrinted>
  <dcterms:created xsi:type="dcterms:W3CDTF">2009-08-05T06:22:30Z</dcterms:created>
  <dcterms:modified xsi:type="dcterms:W3CDTF">2016-04-08T04:05:05Z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1974648180</vt:i4>
  </property>
  <property fmtid="{D5CDD505-2E9C-101B-9397-08002B2CF9AE}" pid="3" name="_NewReviewCycle">
    <vt:lpwstr/>
  </property>
  <property fmtid="{D5CDD505-2E9C-101B-9397-08002B2CF9AE}" pid="4" name="_EmailSubject">
    <vt:lpwstr>SKF July-09</vt:lpwstr>
  </property>
  <property fmtid="{D5CDD505-2E9C-101B-9397-08002B2CF9AE}" pid="5" name="_AuthorEmail">
    <vt:lpwstr>Chandresh.Dave@solvay.com</vt:lpwstr>
  </property>
  <property fmtid="{D5CDD505-2E9C-101B-9397-08002B2CF9AE}" pid="6" name="_AuthorEmailDisplayName">
    <vt:lpwstr>Dave, Chandresh</vt:lpwstr>
  </property>
  <property fmtid="{D5CDD505-2E9C-101B-9397-08002B2CF9AE}" pid="7" name="_ReviewingToolsShownOnce">
    <vt:lpwstr/>
  </property>
</Properties>
</file>